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8_{EEBB3A48-F754-4D7E-9D7A-D57C13C83421}" xr6:coauthVersionLast="47" xr6:coauthVersionMax="47" xr10:uidLastSave="{00000000-0000-0000-0000-000000000000}"/>
  <bookViews>
    <workbookView xWindow="-108" yWindow="-108" windowWidth="23256" windowHeight="13896" xr2:uid="{00000000-000D-0000-FFFF-FFFF00000000}"/>
  </bookViews>
  <sheets>
    <sheet name="00 Summary" sheetId="1" r:id="rId1"/>
    <sheet name="01 Findings" sheetId="2" r:id="rId2"/>
    <sheet name="02 Checks" sheetId="3" r:id="rId3"/>
    <sheet name="03 VAT return" sheetId="4" r:id="rId4"/>
    <sheet name="04 GL reconciliation" sheetId="5" r:id="rId5"/>
    <sheet name="05 Invoices &amp; lines" sheetId="6" r:id="rId6"/>
    <sheet name="06 EU sales list" sheetId="7" r:id="rId7"/>
    <sheet name="07 Intrastat" sheetId="8" r:id="rId8"/>
    <sheet name="08 Trail" sheetId="9" r:id="rId9"/>
  </sheets>
  <calcPr calcId="181029"/>
</workbook>
</file>

<file path=xl/calcChain.xml><?xml version="1.0" encoding="utf-8"?>
<calcChain xmlns="http://schemas.openxmlformats.org/spreadsheetml/2006/main">
  <c r="F24" i="9" l="1"/>
  <c r="F23" i="9"/>
  <c r="H29" i="8"/>
  <c r="G29" i="8"/>
  <c r="F29" i="8"/>
  <c r="E29" i="8"/>
  <c r="D29" i="8"/>
  <c r="C29" i="8"/>
  <c r="B29" i="8"/>
  <c r="H28" i="8"/>
  <c r="G28" i="8"/>
  <c r="F28" i="8"/>
  <c r="E28" i="8"/>
  <c r="D28" i="8"/>
  <c r="C28" i="8"/>
  <c r="B28" i="8"/>
  <c r="H27" i="8"/>
  <c r="G27" i="8"/>
  <c r="F27" i="8"/>
  <c r="E27" i="8"/>
  <c r="D27" i="8"/>
  <c r="C27" i="8"/>
  <c r="B27" i="8"/>
  <c r="H26" i="8"/>
  <c r="G26" i="8"/>
  <c r="F26" i="8"/>
  <c r="E26" i="8"/>
  <c r="D26" i="8"/>
  <c r="C26" i="8"/>
  <c r="B26" i="8"/>
  <c r="H25" i="8"/>
  <c r="G25" i="8"/>
  <c r="F25" i="8"/>
  <c r="E25" i="8"/>
  <c r="D25" i="8"/>
  <c r="C25" i="8"/>
  <c r="B25" i="8"/>
  <c r="H24" i="8"/>
  <c r="G24" i="8"/>
  <c r="F24" i="8"/>
  <c r="E24" i="8"/>
  <c r="D24" i="8"/>
  <c r="C24" i="8"/>
  <c r="B24" i="8"/>
  <c r="H20" i="8"/>
  <c r="G19" i="8"/>
  <c r="I29" i="8" s="1"/>
  <c r="G18" i="8"/>
  <c r="I28" i="8" s="1"/>
  <c r="G17" i="8"/>
  <c r="I27" i="8" s="1"/>
  <c r="G16" i="8"/>
  <c r="I26" i="8" s="1"/>
  <c r="G15" i="8"/>
  <c r="I25" i="8" s="1"/>
  <c r="G14" i="8"/>
  <c r="D29" i="7"/>
  <c r="I15" i="7"/>
  <c r="E28" i="7" s="1"/>
  <c r="H15" i="7"/>
  <c r="C28" i="7" s="1"/>
  <c r="B15" i="7"/>
  <c r="I14" i="7"/>
  <c r="E27" i="7" s="1"/>
  <c r="H14" i="7"/>
  <c r="C27" i="7" s="1"/>
  <c r="B14" i="7"/>
  <c r="I13" i="7"/>
  <c r="E26" i="7" s="1"/>
  <c r="H13" i="7"/>
  <c r="C26" i="7" s="1"/>
  <c r="B13" i="7"/>
  <c r="I12" i="7"/>
  <c r="E25" i="7" s="1"/>
  <c r="H12" i="7"/>
  <c r="C25" i="7" s="1"/>
  <c r="B12" i="7"/>
  <c r="I11" i="7"/>
  <c r="E24" i="7" s="1"/>
  <c r="H11" i="7"/>
  <c r="C24" i="7" s="1"/>
  <c r="B11" i="7"/>
  <c r="I10" i="7"/>
  <c r="E23" i="7" s="1"/>
  <c r="H10" i="7"/>
  <c r="C23" i="7" s="1"/>
  <c r="B10" i="7"/>
  <c r="I9" i="7"/>
  <c r="E22" i="7" s="1"/>
  <c r="H9" i="7"/>
  <c r="C22" i="7" s="1"/>
  <c r="B9" i="7"/>
  <c r="I8" i="7"/>
  <c r="E21" i="7" s="1"/>
  <c r="H8" i="7"/>
  <c r="C21" i="7" s="1"/>
  <c r="B8" i="7"/>
  <c r="I7" i="7"/>
  <c r="H7" i="7"/>
  <c r="B7" i="7"/>
  <c r="K125" i="6"/>
  <c r="G125" i="6"/>
  <c r="J125" i="6" s="1"/>
  <c r="F125" i="6"/>
  <c r="L125" i="6" s="1"/>
  <c r="K124" i="6"/>
  <c r="G124" i="6"/>
  <c r="J124" i="6" s="1"/>
  <c r="F124" i="6"/>
  <c r="L124" i="6" s="1"/>
  <c r="K123" i="6"/>
  <c r="G123" i="6"/>
  <c r="J123" i="6" s="1"/>
  <c r="F123" i="6"/>
  <c r="L123" i="6" s="1"/>
  <c r="B123" i="6" s="1"/>
  <c r="K122" i="6"/>
  <c r="G122" i="6"/>
  <c r="J122" i="6" s="1"/>
  <c r="F122" i="6"/>
  <c r="L122" i="6" s="1"/>
  <c r="B122" i="6" s="1"/>
  <c r="K121" i="6"/>
  <c r="G121" i="6"/>
  <c r="J121" i="6" s="1"/>
  <c r="F121" i="6"/>
  <c r="L121" i="6" s="1"/>
  <c r="B121" i="6" s="1"/>
  <c r="O115" i="6"/>
  <c r="N115" i="6"/>
  <c r="K114" i="6"/>
  <c r="J114" i="6"/>
  <c r="G114" i="6"/>
  <c r="P114" i="6" s="1"/>
  <c r="B114" i="6"/>
  <c r="K113" i="6"/>
  <c r="J113" i="6"/>
  <c r="G113" i="6"/>
  <c r="P113" i="6" s="1"/>
  <c r="B113" i="6"/>
  <c r="K112" i="6"/>
  <c r="J112" i="6"/>
  <c r="G112" i="6"/>
  <c r="P112" i="6" s="1"/>
  <c r="B112" i="6"/>
  <c r="P111" i="6"/>
  <c r="Q111" i="6" s="1"/>
  <c r="K111" i="6"/>
  <c r="G111" i="6"/>
  <c r="J111" i="6" s="1"/>
  <c r="B111" i="6" s="1"/>
  <c r="P110" i="6"/>
  <c r="Q110" i="6" s="1"/>
  <c r="K110" i="6"/>
  <c r="G110" i="6"/>
  <c r="J110" i="6" s="1"/>
  <c r="B110" i="6" s="1"/>
  <c r="P109" i="6"/>
  <c r="Q109" i="6" s="1"/>
  <c r="K109" i="6"/>
  <c r="G109" i="6"/>
  <c r="J109" i="6" s="1"/>
  <c r="B109" i="6" s="1"/>
  <c r="P108" i="6"/>
  <c r="Q108" i="6" s="1"/>
  <c r="P41" i="6" s="1"/>
  <c r="K108" i="6"/>
  <c r="G108" i="6"/>
  <c r="J108" i="6" s="1"/>
  <c r="B108" i="6" s="1"/>
  <c r="P107" i="6"/>
  <c r="Q107" i="6" s="1"/>
  <c r="K107" i="6"/>
  <c r="G107" i="6"/>
  <c r="J107" i="6" s="1"/>
  <c r="B107" i="6" s="1"/>
  <c r="P106" i="6"/>
  <c r="Q106" i="6" s="1"/>
  <c r="P40" i="6" s="1"/>
  <c r="K106" i="6"/>
  <c r="G106" i="6"/>
  <c r="J106" i="6" s="1"/>
  <c r="B106" i="6" s="1"/>
  <c r="P105" i="6"/>
  <c r="Q105" i="6" s="1"/>
  <c r="K105" i="6"/>
  <c r="G105" i="6"/>
  <c r="J105" i="6" s="1"/>
  <c r="B105" i="6" s="1"/>
  <c r="P104" i="6"/>
  <c r="Q104" i="6" s="1"/>
  <c r="P39" i="6" s="1"/>
  <c r="K104" i="6"/>
  <c r="G104" i="6"/>
  <c r="J104" i="6" s="1"/>
  <c r="B104" i="6" s="1"/>
  <c r="P103" i="6"/>
  <c r="Q103" i="6" s="1"/>
  <c r="K103" i="6"/>
  <c r="G103" i="6"/>
  <c r="J103" i="6" s="1"/>
  <c r="B103" i="6" s="1"/>
  <c r="P102" i="6"/>
  <c r="Q102" i="6" s="1"/>
  <c r="K102" i="6"/>
  <c r="G102" i="6"/>
  <c r="J102" i="6" s="1"/>
  <c r="B102" i="6" s="1"/>
  <c r="P101" i="6"/>
  <c r="Q101" i="6" s="1"/>
  <c r="K101" i="6"/>
  <c r="G101" i="6"/>
  <c r="J101" i="6" s="1"/>
  <c r="B101" i="6" s="1"/>
  <c r="P100" i="6"/>
  <c r="Q100" i="6" s="1"/>
  <c r="P37" i="6" s="1"/>
  <c r="K100" i="6"/>
  <c r="G100" i="6"/>
  <c r="J100" i="6" s="1"/>
  <c r="B100" i="6" s="1"/>
  <c r="P99" i="6"/>
  <c r="Q99" i="6" s="1"/>
  <c r="K99" i="6"/>
  <c r="G99" i="6"/>
  <c r="J99" i="6" s="1"/>
  <c r="B99" i="6" s="1"/>
  <c r="P98" i="6"/>
  <c r="Q98" i="6" s="1"/>
  <c r="K98" i="6"/>
  <c r="G98" i="6"/>
  <c r="J98" i="6" s="1"/>
  <c r="B98" i="6" s="1"/>
  <c r="P97" i="6"/>
  <c r="Q97" i="6" s="1"/>
  <c r="K97" i="6"/>
  <c r="G97" i="6"/>
  <c r="J97" i="6" s="1"/>
  <c r="B97" i="6" s="1"/>
  <c r="P96" i="6"/>
  <c r="Q96" i="6" s="1"/>
  <c r="P35" i="6" s="1"/>
  <c r="K96" i="6"/>
  <c r="G96" i="6"/>
  <c r="J96" i="6" s="1"/>
  <c r="B96" i="6" s="1"/>
  <c r="P95" i="6"/>
  <c r="Q95" i="6" s="1"/>
  <c r="K95" i="6"/>
  <c r="G95" i="6"/>
  <c r="J95" i="6" s="1"/>
  <c r="B95" i="6" s="1"/>
  <c r="P94" i="6"/>
  <c r="Q94" i="6" s="1"/>
  <c r="K94" i="6"/>
  <c r="G94" i="6"/>
  <c r="J94" i="6" s="1"/>
  <c r="B94" i="6" s="1"/>
  <c r="P93" i="6"/>
  <c r="Q93" i="6" s="1"/>
  <c r="K93" i="6"/>
  <c r="G93" i="6"/>
  <c r="J93" i="6" s="1"/>
  <c r="B93" i="6" s="1"/>
  <c r="P92" i="6"/>
  <c r="Q92" i="6" s="1"/>
  <c r="P33" i="6" s="1"/>
  <c r="K92" i="6"/>
  <c r="G92" i="6"/>
  <c r="J92" i="6" s="1"/>
  <c r="B92" i="6" s="1"/>
  <c r="P91" i="6"/>
  <c r="Q91" i="6" s="1"/>
  <c r="K91" i="6"/>
  <c r="G91" i="6"/>
  <c r="J91" i="6" s="1"/>
  <c r="B91" i="6" s="1"/>
  <c r="P90" i="6"/>
  <c r="Q90" i="6" s="1"/>
  <c r="P32" i="6" s="1"/>
  <c r="K90" i="6"/>
  <c r="G90" i="6"/>
  <c r="J90" i="6" s="1"/>
  <c r="B90" i="6" s="1"/>
  <c r="P89" i="6"/>
  <c r="Q89" i="6" s="1"/>
  <c r="K89" i="6"/>
  <c r="G89" i="6"/>
  <c r="J89" i="6" s="1"/>
  <c r="B89" i="6" s="1"/>
  <c r="P88" i="6"/>
  <c r="Q88" i="6" s="1"/>
  <c r="P31" i="6" s="1"/>
  <c r="K88" i="6"/>
  <c r="G88" i="6"/>
  <c r="J88" i="6" s="1"/>
  <c r="B88" i="6" s="1"/>
  <c r="P87" i="6"/>
  <c r="Q87" i="6" s="1"/>
  <c r="K87" i="6"/>
  <c r="G87" i="6"/>
  <c r="J87" i="6" s="1"/>
  <c r="B87" i="6" s="1"/>
  <c r="P86" i="6"/>
  <c r="Q86" i="6" s="1"/>
  <c r="K86" i="6"/>
  <c r="G86" i="6"/>
  <c r="J86" i="6" s="1"/>
  <c r="B86" i="6" s="1"/>
  <c r="P85" i="6"/>
  <c r="Q85" i="6" s="1"/>
  <c r="K85" i="6"/>
  <c r="G85" i="6"/>
  <c r="J85" i="6" s="1"/>
  <c r="B85" i="6" s="1"/>
  <c r="P84" i="6"/>
  <c r="Q84" i="6" s="1"/>
  <c r="K84" i="6"/>
  <c r="G84" i="6"/>
  <c r="J84" i="6" s="1"/>
  <c r="B84" i="6" s="1"/>
  <c r="Q83" i="6"/>
  <c r="P83" i="6"/>
  <c r="K83" i="6"/>
  <c r="G83" i="6"/>
  <c r="J83" i="6" s="1"/>
  <c r="B83" i="6" s="1"/>
  <c r="Q82" i="6"/>
  <c r="P82" i="6"/>
  <c r="K82" i="6"/>
  <c r="G82" i="6"/>
  <c r="J82" i="6" s="1"/>
  <c r="B82" i="6" s="1"/>
  <c r="Q81" i="6"/>
  <c r="P81" i="6"/>
  <c r="K81" i="6"/>
  <c r="G81" i="6"/>
  <c r="J81" i="6" s="1"/>
  <c r="B81" i="6" s="1"/>
  <c r="Q80" i="6"/>
  <c r="P80" i="6"/>
  <c r="K80" i="6"/>
  <c r="G80" i="6"/>
  <c r="J80" i="6" s="1"/>
  <c r="B80" i="6" s="1"/>
  <c r="Q79" i="6"/>
  <c r="P79" i="6"/>
  <c r="K79" i="6"/>
  <c r="G79" i="6"/>
  <c r="J79" i="6" s="1"/>
  <c r="B79" i="6" s="1"/>
  <c r="Q78" i="6"/>
  <c r="P78" i="6"/>
  <c r="K78" i="6"/>
  <c r="G78" i="6"/>
  <c r="J78" i="6" s="1"/>
  <c r="B78" i="6" s="1"/>
  <c r="Q77" i="6"/>
  <c r="P77" i="6"/>
  <c r="K77" i="6"/>
  <c r="G77" i="6"/>
  <c r="J77" i="6" s="1"/>
  <c r="B77" i="6" s="1"/>
  <c r="Q76" i="6"/>
  <c r="P76" i="6"/>
  <c r="K76" i="6"/>
  <c r="G76" i="6"/>
  <c r="J76" i="6" s="1"/>
  <c r="B76" i="6" s="1"/>
  <c r="Q75" i="6"/>
  <c r="P75" i="6"/>
  <c r="K75" i="6"/>
  <c r="G75" i="6"/>
  <c r="J75" i="6" s="1"/>
  <c r="B75" i="6" s="1"/>
  <c r="Q74" i="6"/>
  <c r="P74" i="6"/>
  <c r="K74" i="6"/>
  <c r="G74" i="6"/>
  <c r="J74" i="6" s="1"/>
  <c r="B74" i="6" s="1"/>
  <c r="Q73" i="6"/>
  <c r="P73" i="6"/>
  <c r="K73" i="6"/>
  <c r="G73" i="6"/>
  <c r="J73" i="6" s="1"/>
  <c r="B73" i="6" s="1"/>
  <c r="Q72" i="6"/>
  <c r="P72" i="6"/>
  <c r="K72" i="6"/>
  <c r="J72" i="6"/>
  <c r="B72" i="6" s="1"/>
  <c r="G72" i="6"/>
  <c r="Q71" i="6"/>
  <c r="P71" i="6"/>
  <c r="K71" i="6"/>
  <c r="G71" i="6"/>
  <c r="J71" i="6" s="1"/>
  <c r="B71" i="6" s="1"/>
  <c r="Q70" i="6"/>
  <c r="P70" i="6"/>
  <c r="K70" i="6"/>
  <c r="G70" i="6"/>
  <c r="J70" i="6" s="1"/>
  <c r="B70" i="6" s="1"/>
  <c r="Q69" i="6"/>
  <c r="P69" i="6"/>
  <c r="K69" i="6"/>
  <c r="G69" i="6"/>
  <c r="J69" i="6" s="1"/>
  <c r="B69" i="6" s="1"/>
  <c r="Q68" i="6"/>
  <c r="P68" i="6"/>
  <c r="K68" i="6"/>
  <c r="G68" i="6"/>
  <c r="J68" i="6" s="1"/>
  <c r="B68" i="6" s="1"/>
  <c r="Q67" i="6"/>
  <c r="P67" i="6"/>
  <c r="K67" i="6"/>
  <c r="G67" i="6"/>
  <c r="J67" i="6" s="1"/>
  <c r="B67" i="6" s="1"/>
  <c r="Q66" i="6"/>
  <c r="P66" i="6"/>
  <c r="K66" i="6"/>
  <c r="G66" i="6"/>
  <c r="J66" i="6" s="1"/>
  <c r="B66" i="6" s="1"/>
  <c r="Q65" i="6"/>
  <c r="P65" i="6"/>
  <c r="K65" i="6"/>
  <c r="G65" i="6"/>
  <c r="J65" i="6" s="1"/>
  <c r="B65" i="6" s="1"/>
  <c r="Q64" i="6"/>
  <c r="P64" i="6"/>
  <c r="K64" i="6"/>
  <c r="G64" i="6"/>
  <c r="J64" i="6" s="1"/>
  <c r="B64" i="6" s="1"/>
  <c r="Q63" i="6"/>
  <c r="P63" i="6"/>
  <c r="K63" i="6"/>
  <c r="G63" i="6"/>
  <c r="J63" i="6" s="1"/>
  <c r="B63" i="6" s="1"/>
  <c r="Q62" i="6"/>
  <c r="P62" i="6"/>
  <c r="K62" i="6"/>
  <c r="G62" i="6"/>
  <c r="J62" i="6" s="1"/>
  <c r="B62" i="6" s="1"/>
  <c r="Q61" i="6"/>
  <c r="P61" i="6"/>
  <c r="K61" i="6"/>
  <c r="G61" i="6"/>
  <c r="J61" i="6" s="1"/>
  <c r="B61" i="6" s="1"/>
  <c r="Q60" i="6"/>
  <c r="P60" i="6"/>
  <c r="K60" i="6"/>
  <c r="G60" i="6"/>
  <c r="J60" i="6" s="1"/>
  <c r="B60" i="6" s="1"/>
  <c r="Q59" i="6"/>
  <c r="P59" i="6"/>
  <c r="K59" i="6"/>
  <c r="G59" i="6"/>
  <c r="J59" i="6" s="1"/>
  <c r="B59" i="6" s="1"/>
  <c r="Q58" i="6"/>
  <c r="P58" i="6"/>
  <c r="K58" i="6"/>
  <c r="G58" i="6"/>
  <c r="J58" i="6" s="1"/>
  <c r="B58" i="6" s="1"/>
  <c r="Q57" i="6"/>
  <c r="P57" i="6"/>
  <c r="K57" i="6"/>
  <c r="G57" i="6"/>
  <c r="J57" i="6" s="1"/>
  <c r="B57" i="6" s="1"/>
  <c r="Q56" i="6"/>
  <c r="P56" i="6"/>
  <c r="K56" i="6"/>
  <c r="G56" i="6"/>
  <c r="J56" i="6" s="1"/>
  <c r="B56" i="6" s="1"/>
  <c r="Q55" i="6"/>
  <c r="P55" i="6"/>
  <c r="K55" i="6"/>
  <c r="G55" i="6"/>
  <c r="J55" i="6" s="1"/>
  <c r="B55" i="6" s="1"/>
  <c r="Q54" i="6"/>
  <c r="P54" i="6"/>
  <c r="K54" i="6"/>
  <c r="G54" i="6"/>
  <c r="J54" i="6" s="1"/>
  <c r="B54" i="6" s="1"/>
  <c r="Q53" i="6"/>
  <c r="P53" i="6"/>
  <c r="K53" i="6"/>
  <c r="G53" i="6"/>
  <c r="J53" i="6" s="1"/>
  <c r="B53" i="6" s="1"/>
  <c r="Q52" i="6"/>
  <c r="P52" i="6"/>
  <c r="K52" i="6"/>
  <c r="G52" i="6"/>
  <c r="J52" i="6" s="1"/>
  <c r="B52" i="6" s="1"/>
  <c r="Q51" i="6"/>
  <c r="P51" i="6"/>
  <c r="K51" i="6"/>
  <c r="G51" i="6"/>
  <c r="J51" i="6" s="1"/>
  <c r="B51" i="6" s="1"/>
  <c r="Q50" i="6"/>
  <c r="P50" i="6"/>
  <c r="K50" i="6"/>
  <c r="G50" i="6"/>
  <c r="J50" i="6" s="1"/>
  <c r="B50" i="6" s="1"/>
  <c r="M46" i="6"/>
  <c r="L46" i="6"/>
  <c r="N45" i="6"/>
  <c r="K45" i="6"/>
  <c r="N44" i="6"/>
  <c r="K44" i="6"/>
  <c r="N43" i="6"/>
  <c r="K43" i="6"/>
  <c r="O42" i="6"/>
  <c r="N42" i="6"/>
  <c r="K42" i="6"/>
  <c r="O41" i="6"/>
  <c r="N41" i="6"/>
  <c r="K41" i="6"/>
  <c r="O40" i="6"/>
  <c r="N40" i="6"/>
  <c r="K40" i="6"/>
  <c r="O39" i="6"/>
  <c r="N39" i="6"/>
  <c r="K39" i="6"/>
  <c r="O38" i="6"/>
  <c r="N38" i="6"/>
  <c r="K38" i="6"/>
  <c r="O37" i="6"/>
  <c r="N37" i="6"/>
  <c r="K37" i="6"/>
  <c r="O36" i="6"/>
  <c r="N36" i="6"/>
  <c r="K36" i="6"/>
  <c r="O35" i="6"/>
  <c r="N35" i="6"/>
  <c r="K35" i="6"/>
  <c r="O34" i="6"/>
  <c r="N34" i="6"/>
  <c r="K34" i="6"/>
  <c r="O33" i="6"/>
  <c r="N33" i="6"/>
  <c r="K33" i="6"/>
  <c r="O32" i="6"/>
  <c r="N32" i="6"/>
  <c r="K32" i="6"/>
  <c r="O31" i="6"/>
  <c r="N31" i="6"/>
  <c r="K31" i="6"/>
  <c r="O30" i="6"/>
  <c r="N30" i="6"/>
  <c r="K30" i="6"/>
  <c r="O29" i="6"/>
  <c r="N29" i="6"/>
  <c r="K29" i="6"/>
  <c r="P28" i="6"/>
  <c r="O28" i="6"/>
  <c r="N28" i="6"/>
  <c r="K28" i="6"/>
  <c r="P27" i="6"/>
  <c r="O27" i="6"/>
  <c r="N27" i="6"/>
  <c r="K27" i="6"/>
  <c r="P26" i="6"/>
  <c r="O26" i="6"/>
  <c r="N26" i="6"/>
  <c r="K26" i="6"/>
  <c r="P25" i="6"/>
  <c r="O25" i="6"/>
  <c r="N25" i="6"/>
  <c r="K25" i="6"/>
  <c r="P24" i="6"/>
  <c r="O24" i="6"/>
  <c r="N24" i="6"/>
  <c r="K24" i="6"/>
  <c r="P23" i="6"/>
  <c r="O23" i="6"/>
  <c r="N23" i="6"/>
  <c r="K23" i="6"/>
  <c r="P22" i="6"/>
  <c r="O22" i="6"/>
  <c r="N22" i="6"/>
  <c r="K22" i="6"/>
  <c r="P21" i="6"/>
  <c r="O21" i="6"/>
  <c r="N21" i="6"/>
  <c r="K21" i="6"/>
  <c r="P20" i="6"/>
  <c r="O20" i="6"/>
  <c r="N20" i="6"/>
  <c r="K20" i="6"/>
  <c r="P19" i="6"/>
  <c r="O19" i="6"/>
  <c r="N19" i="6"/>
  <c r="K19" i="6"/>
  <c r="P18" i="6"/>
  <c r="O18" i="6"/>
  <c r="N18" i="6"/>
  <c r="K18" i="6"/>
  <c r="P17" i="6"/>
  <c r="O17" i="6"/>
  <c r="N17" i="6"/>
  <c r="K17" i="6"/>
  <c r="P16" i="6"/>
  <c r="O16" i="6"/>
  <c r="N16" i="6"/>
  <c r="K16" i="6"/>
  <c r="P15" i="6"/>
  <c r="O15" i="6"/>
  <c r="N15" i="6"/>
  <c r="K15" i="6"/>
  <c r="P14" i="6"/>
  <c r="O14" i="6"/>
  <c r="N14" i="6"/>
  <c r="K14" i="6"/>
  <c r="P13" i="6"/>
  <c r="O13" i="6"/>
  <c r="N13" i="6"/>
  <c r="K13" i="6"/>
  <c r="P12" i="6"/>
  <c r="O12" i="6"/>
  <c r="N12" i="6"/>
  <c r="K12" i="6"/>
  <c r="P11" i="6"/>
  <c r="O11" i="6"/>
  <c r="N11" i="6"/>
  <c r="K11" i="6"/>
  <c r="P10" i="6"/>
  <c r="O10" i="6"/>
  <c r="N10" i="6"/>
  <c r="K10" i="6"/>
  <c r="P9" i="6"/>
  <c r="O9" i="6"/>
  <c r="N9" i="6"/>
  <c r="K9" i="6"/>
  <c r="P8" i="6"/>
  <c r="O8" i="6"/>
  <c r="N8" i="6"/>
  <c r="K8" i="6"/>
  <c r="P7" i="6"/>
  <c r="O7" i="6"/>
  <c r="N7" i="6"/>
  <c r="N46" i="6" s="1"/>
  <c r="K7" i="6"/>
  <c r="E45" i="5"/>
  <c r="B45" i="5" s="1"/>
  <c r="D45" i="5"/>
  <c r="E44" i="5"/>
  <c r="G23" i="5"/>
  <c r="G22" i="5"/>
  <c r="G21" i="5"/>
  <c r="D44" i="5" s="1"/>
  <c r="B44" i="5" s="1"/>
  <c r="G20" i="5"/>
  <c r="G19" i="5"/>
  <c r="D38" i="5" s="1"/>
  <c r="G18" i="5"/>
  <c r="D37" i="5" s="1"/>
  <c r="G17" i="5"/>
  <c r="D35" i="5" s="1"/>
  <c r="G16" i="5"/>
  <c r="G15" i="5"/>
  <c r="G14" i="5"/>
  <c r="G13" i="5"/>
  <c r="G12" i="5"/>
  <c r="D42" i="5" s="1"/>
  <c r="G11" i="5"/>
  <c r="G10" i="5"/>
  <c r="G9" i="5"/>
  <c r="G8" i="5"/>
  <c r="G7" i="5"/>
  <c r="G73" i="4"/>
  <c r="D73" i="4"/>
  <c r="C73" i="4"/>
  <c r="G72" i="4"/>
  <c r="D72" i="4"/>
  <c r="C72" i="4"/>
  <c r="G71" i="4"/>
  <c r="D71" i="4"/>
  <c r="C71" i="4"/>
  <c r="G70" i="4"/>
  <c r="E70" i="4"/>
  <c r="D70" i="4"/>
  <c r="C70" i="4"/>
  <c r="G69" i="4"/>
  <c r="F69" i="4"/>
  <c r="E69" i="4"/>
  <c r="D69" i="4"/>
  <c r="C69" i="4"/>
  <c r="G68" i="4"/>
  <c r="F68" i="4"/>
  <c r="E68" i="4"/>
  <c r="D68" i="4"/>
  <c r="C68" i="4"/>
  <c r="D15" i="4" s="1"/>
  <c r="G67" i="4"/>
  <c r="F67" i="4"/>
  <c r="E67" i="4"/>
  <c r="D67" i="4"/>
  <c r="C67" i="4"/>
  <c r="G66" i="4"/>
  <c r="G74" i="4" s="1"/>
  <c r="F66" i="4"/>
  <c r="E66" i="4"/>
  <c r="D66" i="4"/>
  <c r="D74" i="4" s="1"/>
  <c r="C66" i="4"/>
  <c r="D16" i="4"/>
  <c r="F16" i="4" s="1"/>
  <c r="D13" i="4"/>
  <c r="F13" i="4" s="1"/>
  <c r="D12" i="4"/>
  <c r="F12" i="4" s="1"/>
  <c r="D11" i="4"/>
  <c r="F11" i="4" s="1"/>
  <c r="E10" i="4"/>
  <c r="D10" i="4"/>
  <c r="F9" i="4"/>
  <c r="E8" i="4"/>
  <c r="E18" i="4" s="1"/>
  <c r="E32" i="1" s="1"/>
  <c r="D8" i="4"/>
  <c r="D7" i="4"/>
  <c r="F7" i="4" s="1"/>
  <c r="G16" i="3"/>
  <c r="G7" i="3"/>
  <c r="E7" i="3"/>
  <c r="B7" i="3" s="1"/>
  <c r="E30" i="2"/>
  <c r="E29" i="2"/>
  <c r="B29" i="2" s="1"/>
  <c r="E28" i="2"/>
  <c r="B28" i="2" s="1"/>
  <c r="E27" i="2"/>
  <c r="B27" i="2" s="1"/>
  <c r="E26" i="2"/>
  <c r="B26" i="2" s="1"/>
  <c r="F21" i="2"/>
  <c r="F20" i="2"/>
  <c r="F19" i="2"/>
  <c r="F18" i="2"/>
  <c r="F17" i="2"/>
  <c r="F16" i="2"/>
  <c r="E40" i="1"/>
  <c r="E39" i="1"/>
  <c r="E38" i="1"/>
  <c r="G32" i="1"/>
  <c r="G31" i="1"/>
  <c r="E31" i="1"/>
  <c r="G30" i="1"/>
  <c r="E30" i="1"/>
  <c r="D30" i="1"/>
  <c r="G29" i="1"/>
  <c r="E29" i="1"/>
  <c r="G28" i="1"/>
  <c r="E28" i="1"/>
  <c r="G27" i="1"/>
  <c r="E27" i="1"/>
  <c r="D27" i="1"/>
  <c r="G26" i="1"/>
  <c r="E26" i="1"/>
  <c r="D26" i="1"/>
  <c r="G25" i="1"/>
  <c r="E25" i="1"/>
  <c r="D25" i="1"/>
  <c r="G24" i="1"/>
  <c r="E24" i="1"/>
  <c r="D24" i="1"/>
  <c r="G23" i="1"/>
  <c r="H23" i="1" s="1"/>
  <c r="F23" i="1"/>
  <c r="J23" i="1" s="1"/>
  <c r="E23" i="1"/>
  <c r="D23" i="1"/>
  <c r="G22" i="1"/>
  <c r="E22" i="1"/>
  <c r="D22" i="1"/>
  <c r="G21" i="1"/>
  <c r="E21" i="1"/>
  <c r="D21" i="1"/>
  <c r="H9" i="1"/>
  <c r="C74" i="4" l="1"/>
  <c r="P30" i="6"/>
  <c r="F10" i="4"/>
  <c r="P42" i="6"/>
  <c r="P38" i="6"/>
  <c r="P36" i="6"/>
  <c r="P34" i="6"/>
  <c r="D29" i="1"/>
  <c r="F15" i="4"/>
  <c r="I24" i="8"/>
  <c r="I30" i="8" s="1"/>
  <c r="G14" i="3" s="1"/>
  <c r="G20" i="8"/>
  <c r="E25" i="2" s="1"/>
  <c r="E20" i="7"/>
  <c r="E29" i="7" s="1"/>
  <c r="G13" i="3" s="1"/>
  <c r="I16" i="7"/>
  <c r="E24" i="2" s="1"/>
  <c r="B24" i="2" s="1"/>
  <c r="H16" i="7"/>
  <c r="C20" i="7"/>
  <c r="C29" i="7" s="1"/>
  <c r="F30" i="2"/>
  <c r="B30" i="2" s="1"/>
  <c r="B125" i="6"/>
  <c r="Q114" i="6"/>
  <c r="E73" i="4"/>
  <c r="O45" i="6"/>
  <c r="Q113" i="6"/>
  <c r="E72" i="4"/>
  <c r="O44" i="6"/>
  <c r="Q112" i="6"/>
  <c r="Q115" i="6" s="1"/>
  <c r="E71" i="4"/>
  <c r="E74" i="4" s="1"/>
  <c r="D14" i="4" s="1"/>
  <c r="F14" i="2"/>
  <c r="O43" i="6"/>
  <c r="O46" i="6" s="1"/>
  <c r="F22" i="2"/>
  <c r="P29" i="6"/>
  <c r="F70" i="4"/>
  <c r="G10" i="3"/>
  <c r="G9" i="3"/>
  <c r="D43" i="5"/>
  <c r="B43" i="5" s="1"/>
  <c r="E40" i="5"/>
  <c r="D39" i="5"/>
  <c r="D36" i="5"/>
  <c r="D34" i="5"/>
  <c r="D41" i="5"/>
  <c r="D40" i="5"/>
  <c r="F30" i="1"/>
  <c r="D31" i="4"/>
  <c r="F31" i="4" s="1"/>
  <c r="D48" i="4"/>
  <c r="E13" i="3"/>
  <c r="F24" i="2"/>
  <c r="F27" i="1"/>
  <c r="D28" i="4"/>
  <c r="F28" i="4" s="1"/>
  <c r="D45" i="4"/>
  <c r="E15" i="3"/>
  <c r="G15" i="3"/>
  <c r="D27" i="4"/>
  <c r="F27" i="4" s="1"/>
  <c r="F26" i="1"/>
  <c r="D44" i="4"/>
  <c r="F25" i="1"/>
  <c r="D43" i="4"/>
  <c r="D8" i="8"/>
  <c r="E8" i="8" s="1"/>
  <c r="G8" i="8" s="1"/>
  <c r="E42" i="5"/>
  <c r="B42" i="5" s="1"/>
  <c r="D26" i="4"/>
  <c r="F26" i="4" s="1"/>
  <c r="F32" i="2"/>
  <c r="D25" i="4"/>
  <c r="F25" i="4" s="1"/>
  <c r="F24" i="1"/>
  <c r="D42" i="4"/>
  <c r="E18" i="2"/>
  <c r="B18" i="2" s="1"/>
  <c r="E35" i="5"/>
  <c r="B35" i="5" s="1"/>
  <c r="D24" i="4"/>
  <c r="F24" i="4" s="1"/>
  <c r="D41" i="4"/>
  <c r="F8" i="4"/>
  <c r="E16" i="2"/>
  <c r="B16" i="2" s="1"/>
  <c r="D22" i="4"/>
  <c r="F22" i="4" s="1"/>
  <c r="F21" i="1"/>
  <c r="D39" i="4"/>
  <c r="E31" i="2"/>
  <c r="B124" i="6"/>
  <c r="E15" i="2"/>
  <c r="B15" i="2" s="1"/>
  <c r="E43" i="5"/>
  <c r="P115" i="6"/>
  <c r="F23" i="2" l="1"/>
  <c r="D30" i="4"/>
  <c r="F30" i="4" s="1"/>
  <c r="D47" i="4"/>
  <c r="D7" i="8"/>
  <c r="E7" i="8" s="1"/>
  <c r="G7" i="8" s="1"/>
  <c r="F29" i="1"/>
  <c r="E12" i="3"/>
  <c r="E41" i="5"/>
  <c r="B41" i="5" s="1"/>
  <c r="E23" i="2"/>
  <c r="B23" i="2" s="1"/>
  <c r="F25" i="2"/>
  <c r="B25" i="2" s="1"/>
  <c r="G12" i="3"/>
  <c r="E14" i="3"/>
  <c r="B14" i="3" s="1"/>
  <c r="F73" i="4"/>
  <c r="P45" i="6"/>
  <c r="F72" i="4"/>
  <c r="P44" i="6"/>
  <c r="F71" i="4"/>
  <c r="F74" i="4" s="1"/>
  <c r="D17" i="4" s="1"/>
  <c r="D18" i="4" s="1"/>
  <c r="P43" i="6"/>
  <c r="G11" i="3"/>
  <c r="G8" i="3"/>
  <c r="H30" i="1"/>
  <c r="J30" i="1"/>
  <c r="H27" i="1"/>
  <c r="J27" i="1"/>
  <c r="H26" i="1"/>
  <c r="J26" i="1"/>
  <c r="H25" i="1"/>
  <c r="J25" i="1"/>
  <c r="H24" i="1"/>
  <c r="J24" i="1"/>
  <c r="E34" i="5"/>
  <c r="B34" i="5" s="1"/>
  <c r="E36" i="5"/>
  <c r="B36" i="5" s="1"/>
  <c r="F22" i="1"/>
  <c r="F31" i="2"/>
  <c r="B31" i="2" s="1"/>
  <c r="D23" i="4"/>
  <c r="F23" i="4" s="1"/>
  <c r="E17" i="2"/>
  <c r="B17" i="2" s="1"/>
  <c r="D40" i="4"/>
  <c r="E8" i="3"/>
  <c r="H21" i="1"/>
  <c r="J21" i="1"/>
  <c r="B40" i="5"/>
  <c r="B13" i="3"/>
  <c r="B15" i="3"/>
  <c r="D28" i="1"/>
  <c r="F14" i="4"/>
  <c r="B12" i="3" l="1"/>
  <c r="H29" i="1"/>
  <c r="J29" i="1"/>
  <c r="D31" i="1"/>
  <c r="F17" i="4"/>
  <c r="H22" i="1"/>
  <c r="J22" i="1"/>
  <c r="E22" i="2"/>
  <c r="B22" i="2" s="1"/>
  <c r="E32" i="2"/>
  <c r="B32" i="2" s="1"/>
  <c r="D46" i="4"/>
  <c r="D29" i="4"/>
  <c r="F29" i="4" s="1"/>
  <c r="E19" i="2"/>
  <c r="B19" i="2" s="1"/>
  <c r="F28" i="1"/>
  <c r="E9" i="3"/>
  <c r="B9" i="3" s="1"/>
  <c r="E37" i="5"/>
  <c r="B37" i="5" s="1"/>
  <c r="D32" i="1"/>
  <c r="H8" i="9"/>
  <c r="B8" i="3"/>
  <c r="P46" i="6"/>
  <c r="F18" i="4" l="1"/>
  <c r="D32" i="4"/>
  <c r="F32" i="4" s="1"/>
  <c r="E38" i="5"/>
  <c r="B38" i="5" s="1"/>
  <c r="D49" i="4"/>
  <c r="E20" i="2"/>
  <c r="B20" i="2" s="1"/>
  <c r="F31" i="1"/>
  <c r="E10" i="3"/>
  <c r="B10" i="3" s="1"/>
  <c r="H28" i="1"/>
  <c r="J28" i="1"/>
  <c r="D33" i="4" l="1"/>
  <c r="F33" i="4" s="1"/>
  <c r="E39" i="5"/>
  <c r="B39" i="5" s="1"/>
  <c r="E11" i="3"/>
  <c r="B11" i="3" s="1"/>
  <c r="D50" i="4"/>
  <c r="E21" i="2"/>
  <c r="B21" i="2" s="1"/>
  <c r="E14" i="2"/>
  <c r="B14" i="2" s="1"/>
  <c r="B42" i="1" s="1"/>
  <c r="F32" i="1"/>
  <c r="E16" i="3"/>
  <c r="B16" i="3" s="1"/>
  <c r="H31" i="1"/>
  <c r="J31" i="1"/>
  <c r="H32" i="1" l="1"/>
  <c r="B5" i="1" s="1"/>
  <c r="J32" i="1"/>
  <c r="B9" i="1"/>
</calcChain>
</file>

<file path=xl/sharedStrings.xml><?xml version="1.0" encoding="utf-8"?>
<sst xmlns="http://schemas.openxmlformats.org/spreadsheetml/2006/main" count="1582" uniqueCount="735">
  <si>
    <t>Exempel Industri AB (demo) · March 2026 · Fictional demonstration — working report</t>
  </si>
  <si>
    <t>VAT reconciliation · March 2026</t>
  </si>
  <si>
    <t>Your source data, one reviewed invoice split and your draft return — reconciled box by box.</t>
  </si>
  <si>
    <t>VAT TO PAY</t>
  </si>
  <si>
    <t>FILING AND PAYMENT DUE</t>
  </si>
  <si>
    <t>OPEN FINDINGS</t>
  </si>
  <si>
    <t>Due date for a monthly filer below 40 MSEK turnover: the 12th of the second month after the period (Skatteverket, paid to the tax account).</t>
  </si>
  <si>
    <t>Entity</t>
  </si>
  <si>
    <t>Exempel Industri AB (demo)</t>
  </si>
  <si>
    <t>Period</t>
  </si>
  <si>
    <t>2026-03-01 — 2026-03-31</t>
  </si>
  <si>
    <t>Currency</t>
  </si>
  <si>
    <t>SEK (functional)</t>
  </si>
  <si>
    <t>Sources</t>
  </si>
  <si>
    <t>AR and AP extracts for March 2026 (39 invoices, 65 lines) · general-ledger trial balance · your draft return · Riksbank daily rates</t>
  </si>
  <si>
    <t>Tolerance</t>
  </si>
  <si>
    <t>0.01 SEK per figure · FX 2% from the Riksbank rate</t>
  </si>
  <si>
    <t>Status</t>
  </si>
  <si>
    <t>Draft for client approval</t>
  </si>
  <si>
    <t>Version</t>
  </si>
  <si>
    <t>Vatli sample v5 · built 2026-09-24</t>
  </si>
  <si>
    <t>VAT BOXES</t>
  </si>
  <si>
    <t>Box</t>
  </si>
  <si>
    <t>Description</t>
  </si>
  <si>
    <t>From source</t>
  </si>
  <si>
    <t>Adjustment</t>
  </si>
  <si>
    <t>After review</t>
  </si>
  <si>
    <t>Your draft return</t>
  </si>
  <si>
    <t>Difference</t>
  </si>
  <si>
    <t>Feb 2026</t>
  </si>
  <si>
    <t>Change vs Feb</t>
  </si>
  <si>
    <t>05</t>
  </si>
  <si>
    <t>Domestic taxable sales</t>
  </si>
  <si>
    <t>10</t>
  </si>
  <si>
    <t>Output VAT at 25%</t>
  </si>
  <si>
    <t>11</t>
  </si>
  <si>
    <t>Output VAT at 12%</t>
  </si>
  <si>
    <t>12</t>
  </si>
  <si>
    <t>Output VAT at 6%</t>
  </si>
  <si>
    <t>20</t>
  </si>
  <si>
    <t>EU acquisitions of goods</t>
  </si>
  <si>
    <t>21</t>
  </si>
  <si>
    <t>EU services reverse charge</t>
  </si>
  <si>
    <t>22</t>
  </si>
  <si>
    <t>Non-EU services reverse charge</t>
  </si>
  <si>
    <t>30</t>
  </si>
  <si>
    <t>Reverse-charge output VAT</t>
  </si>
  <si>
    <t>35</t>
  </si>
  <si>
    <t>EU dispatches of goods</t>
  </si>
  <si>
    <t>39</t>
  </si>
  <si>
    <t>EU B2B services</t>
  </si>
  <si>
    <t>48</t>
  </si>
  <si>
    <t>Deductible input VAT</t>
  </si>
  <si>
    <t>49</t>
  </si>
  <si>
    <t>VAT to pay</t>
  </si>
  <si>
    <t>Difference is your draft return less the calculation after review. The March split moved 2,400.00 SEK from box 10 to box 12; VAT to pay did not change.</t>
  </si>
  <si>
    <t>FINDINGS</t>
  </si>
  <si>
    <t>ID</t>
  </si>
  <si>
    <t>Finding</t>
  </si>
  <si>
    <t>Where</t>
  </si>
  <si>
    <t>EX-001</t>
  </si>
  <si>
    <t>Line VAT is 17.00% of net — not a Swedish rate</t>
  </si>
  <si>
    <t>AR-2026-022</t>
  </si>
  <si>
    <t>EX-002</t>
  </si>
  <si>
    <t>The ledger still books the 6% sale at 25%</t>
  </si>
  <si>
    <t>GL 3000 / 2611</t>
  </si>
  <si>
    <t>EX-003</t>
  </si>
  <si>
    <t>Booked FX rate 11.5% away from the Riksbank rate</t>
  </si>
  <si>
    <t>AP-2026-016</t>
  </si>
  <si>
    <t>19 checks on 01 Findings, 10 cross-report tie-outs on 02 Checks and 12 ledger checks on 04 GL reconciliation.</t>
  </si>
  <si>
    <t>SIGN-OFF</t>
  </si>
  <si>
    <t>Role</t>
  </si>
  <si>
    <t>Name</t>
  </si>
  <si>
    <t>Date</t>
  </si>
  <si>
    <t>Signature</t>
  </si>
  <si>
    <t>Prepared</t>
  </si>
  <si>
    <t>Vatli (system)</t>
  </si>
  <si>
    <t>—</t>
  </si>
  <si>
    <t>Reviewed</t>
  </si>
  <si>
    <t>Reviewer (demo)</t>
  </si>
  <si>
    <t>Approved by the client</t>
  </si>
  <si>
    <t>HOW TO READ THIS FILE</t>
  </si>
  <si>
    <t>1. Start here: the three figures and the box table above are the whole answer; everything else is evidence.</t>
  </si>
  <si>
    <t>2. 01 Findings lists what needs a decision; 02 Checks shows whether the reports agree.</t>
  </si>
  <si>
    <t>3. 04 GL reconciliation ties the declaration to the client's ledger accounts.</t>
  </si>
  <si>
    <t>4. Each check shows its difference; 0.00 means the figures agree. "Independent source" checks compare with a second source; "Internal consistency" checks only confirm the calculation adds up.</t>
  </si>
  <si>
    <t xml:space="preserve">   Vatli is software, not a tax adviser: the tax treatment and any correction stay the client's decision.</t>
  </si>
  <si>
    <t>5. Every company, VAT number, amount and date here is invented. Real formulas, but never a filing.</t>
  </si>
  <si>
    <t>CONTENTS</t>
  </si>
  <si>
    <t>01 Findings</t>
  </si>
  <si>
    <t>02 Checks</t>
  </si>
  <si>
    <t>03 VAT return</t>
  </si>
  <si>
    <t>04 GL reconciliation</t>
  </si>
  <si>
    <t>05 Invoices &amp; lines</t>
  </si>
  <si>
    <t>06 EU sales list</t>
  </si>
  <si>
    <t>07 Intrastat</t>
  </si>
  <si>
    <t>08 Trail</t>
  </si>
  <si>
    <t>← Summary</t>
  </si>
  <si>
    <t>Findings first.</t>
  </si>
  <si>
    <t>What needs a person, and the evidence behind each one.</t>
  </si>
  <si>
    <t>Document</t>
  </si>
  <si>
    <t>Impact</t>
  </si>
  <si>
    <t>Evidence</t>
  </si>
  <si>
    <t>Decision</t>
  </si>
  <si>
    <t>Who · when</t>
  </si>
  <si>
    <t>Resolved</t>
  </si>
  <si>
    <t>Box 10 −2,400.00 · box 12 +2,400.00 · VAT to pay unchanged</t>
  </si>
  <si>
    <t>The invoice shows 25% on 55,000.00 and 6% on 40,000.00</t>
  </si>
  <si>
    <t>Split in the declaration (ADJ-001)</t>
  </si>
  <si>
    <t>Reviewer (demo) · 2026-04-02</t>
  </si>
  <si>
    <t>Open</t>
  </si>
  <si>
    <t>None on the declaration; the client's ledger differs from it by 2,400.00 VAT</t>
  </si>
  <si>
    <t>Account 3000 holds 40,000.00 of sales at 6%; account 2611 holds their 2,400.00 VAT</t>
  </si>
  <si>
    <t>Shared with the client; any correction is theirs to book</t>
  </si>
  <si>
    <t>If the Riksbank rate applies: box 22 −2,137.08, boxes 30 and 48 −534.27 each · VAT to pay unchanged</t>
  </si>
  <si>
    <t>Booked at 10.4000 USD/SEK; Riksbank rate for 2026-03-20: 9.3315</t>
  </si>
  <si>
    <t>Client confirms which rate their policy uses</t>
  </si>
  <si>
    <t>A finding is never repaired silently. The split changes the declaration; the client's ledger stays exactly as they booked it.</t>
  </si>
  <si>
    <t>CONTROLS</t>
  </si>
  <si>
    <t>Control</t>
  </si>
  <si>
    <t>Observed</t>
  </si>
  <si>
    <t>Comparison</t>
  </si>
  <si>
    <t>Evidence / definition</t>
  </si>
  <si>
    <t>What it proves</t>
  </si>
  <si>
    <t>CHK-01</t>
  </si>
  <si>
    <t>VAT to pay from the lines</t>
  </si>
  <si>
    <t>Box 49 against output + self-assessed − deductible VAT summed straight from the source lines</t>
  </si>
  <si>
    <t>Internal consistency</t>
  </si>
  <si>
    <t>CHK-02</t>
  </si>
  <si>
    <t>Rate exceptions without an approved split</t>
  </si>
  <si>
    <t>Lines whose booked VAT does not match the code's rate and that no approved split explains</t>
  </si>
  <si>
    <t>CHK-03</t>
  </si>
  <si>
    <t>Box 05: reviewed vs your draft return</t>
  </si>
  <si>
    <t>Reviewed calculation against the figure in your draft return</t>
  </si>
  <si>
    <t>Independent source</t>
  </si>
  <si>
    <t>CHK-04</t>
  </si>
  <si>
    <t>Box 10: reviewed vs your draft return</t>
  </si>
  <si>
    <t>CHK-05</t>
  </si>
  <si>
    <t>Box 12: reviewed vs your draft return</t>
  </si>
  <si>
    <t>CHK-06</t>
  </si>
  <si>
    <t>Box 30: reviewed vs your draft return</t>
  </si>
  <si>
    <t>CHK-07</t>
  </si>
  <si>
    <t>Box 48: reviewed vs your draft return</t>
  </si>
  <si>
    <t>CHK-08</t>
  </si>
  <si>
    <t>Box 49: reviewed vs your draft return</t>
  </si>
  <si>
    <t>CHK-09</t>
  </si>
  <si>
    <t>Reverse-charge output vs input</t>
  </si>
  <si>
    <t>Every self-assessed VAT is deducted on the same line</t>
  </si>
  <si>
    <t>CHK-10</t>
  </si>
  <si>
    <t>EU goods vs box 35</t>
  </si>
  <si>
    <t>EU goods sales reconciled to VAT</t>
  </si>
  <si>
    <t>CHK-11</t>
  </si>
  <si>
    <t>EU services vs box 39</t>
  </si>
  <si>
    <t>EU services reconciled to VAT</t>
  </si>
  <si>
    <t>CHK-12</t>
  </si>
  <si>
    <t>Intrastat vs EU goods</t>
  </si>
  <si>
    <t>Dispatch values reconcile to EU goods invoices</t>
  </si>
  <si>
    <t>CHK-13</t>
  </si>
  <si>
    <t>EU B2B VAT IDs missing or mismatched</t>
  </si>
  <si>
    <t>Present and prefixed with the customer's country; demo IDs are not VIES-validated</t>
  </si>
  <si>
    <t>CHK-14</t>
  </si>
  <si>
    <t>Approved split ties to the booked line</t>
  </si>
  <si>
    <t>Parts add up to the booked net and VAT, and each part's VAT is its net × its rate</t>
  </si>
  <si>
    <t>CHK-15</t>
  </si>
  <si>
    <t>Invoice headers vs source lines</t>
  </si>
  <si>
    <t>Sum of absolute per-invoice differences, net and VAT in SEK</t>
  </si>
  <si>
    <t>CHK-16</t>
  </si>
  <si>
    <t>Document-to-SEK translation</t>
  </si>
  <si>
    <t>Every line's SEK amount equals document amount × booked rate</t>
  </si>
  <si>
    <t>CHK-17</t>
  </si>
  <si>
    <t>FX rate against the Riksbank rate (±2%)</t>
  </si>
  <si>
    <t>AP-2026-016: booked rate against the Riksbank rate of the invoice date → EX-003</t>
  </si>
  <si>
    <t>CHK-18</t>
  </si>
  <si>
    <t>Box 05 against the output VAT by rate</t>
  </si>
  <si>
    <t>Domestic sales equal the VAT in boxes 10–12 grossed back at 25%, 12% and 6%</t>
  </si>
  <si>
    <t>CHK-19</t>
  </si>
  <si>
    <t>Box 30 against the reverse-charge bases</t>
  </si>
  <si>
    <t>Self-assessed VAT equals 25% of boxes 20–22 (all March reverse-charge purchases are at 25%)</t>
  </si>
  <si>
    <t>These controls check the fictional dataset and the arithmetic between the sheets. A difference of 0.00 means the figures agree; it is not an opinion on the tax treatment. 10 cross-report tie-outs are on 02 Checks and 12 ledger controls on 04 GL reconciliation.</t>
  </si>
  <si>
    <t>Does it all tie?</t>
  </si>
  <si>
    <t>One line per cross-report tie-out: the same figure, seen from two places.</t>
  </si>
  <si>
    <t>CROSS-REPORT TIE-OUTS</t>
  </si>
  <si>
    <t>Tie-out</t>
  </si>
  <si>
    <t>Left source</t>
  </si>
  <si>
    <t>Left (SEK)</t>
  </si>
  <si>
    <t>Right source</t>
  </si>
  <si>
    <t>Right (SEK)</t>
  </si>
  <si>
    <t>What it means</t>
  </si>
  <si>
    <t>Documents against their lines</t>
  </si>
  <si>
    <t>Invoice register · net</t>
  </si>
  <si>
    <t>Source lines · net</t>
  </si>
  <si>
    <t>Every document is the sum of its lines</t>
  </si>
  <si>
    <t>Output VAT against the ledger</t>
  </si>
  <si>
    <t>Boxes 10 + 11 + 12</t>
  </si>
  <si>
    <t>GL 2611 + 2621 + 2631</t>
  </si>
  <si>
    <t>Total agrees; the split between boxes 10 and 12 is EX-002</t>
  </si>
  <si>
    <t>Reverse-charge VAT against the ledger</t>
  </si>
  <si>
    <t>Box 30</t>
  </si>
  <si>
    <t>GL 2614</t>
  </si>
  <si>
    <t>Self-assessed output VAT</t>
  </si>
  <si>
    <t>Input VAT against the ledger</t>
  </si>
  <si>
    <t>Box 48</t>
  </si>
  <si>
    <t>GL 2641 + 2645</t>
  </si>
  <si>
    <t>Domestic plus reverse-charge input</t>
  </si>
  <si>
    <t>VAT to pay against the ledger</t>
  </si>
  <si>
    <t>Box 49</t>
  </si>
  <si>
    <t>GL VAT accounts, net</t>
  </si>
  <si>
    <t>The declaration lands on the balance sheet</t>
  </si>
  <si>
    <t>EU goods against the EU sales list</t>
  </si>
  <si>
    <t>Box 35</t>
  </si>
  <si>
    <t>EU sales list · goods</t>
  </si>
  <si>
    <t>Same supplies, two reports</t>
  </si>
  <si>
    <t>EU services against the EU sales list</t>
  </si>
  <si>
    <t>Box 39</t>
  </si>
  <si>
    <t>EU sales list · services</t>
  </si>
  <si>
    <t>Services reported under the main rule</t>
  </si>
  <si>
    <t>EU sales list against Intrastat</t>
  </si>
  <si>
    <t>Intrastat · invoiced value</t>
  </si>
  <si>
    <t>Goods that were sold and goods that moved</t>
  </si>
  <si>
    <t>Non-EU services at the official rate</t>
  </si>
  <si>
    <t>Box 22 · as booked</t>
  </si>
  <si>
    <t>Box 22 · at the Riksbank rate</t>
  </si>
  <si>
    <t>The booked USD rate differs from the Riksbank rate — EX-003</t>
  </si>
  <si>
    <t>Calculation against your draft return</t>
  </si>
  <si>
    <t>Box 49 · calculated</t>
  </si>
  <si>
    <t>Box 49 · your draft return</t>
  </si>
  <si>
    <t>The bottom line, both sides</t>
  </si>
  <si>
    <t>A zero means the two sides agree to the öre. A difference is not automatically an error — the FX line differs by design, and the reason sits in the last column.</t>
  </si>
  <si>
    <t>→ 01 Findings</t>
  </si>
  <si>
    <t>→ 03 VAT return</t>
  </si>
  <si>
    <t>→ 04 GL reconciliation</t>
  </si>
  <si>
    <t>→ 06 EU sales list</t>
  </si>
  <si>
    <t>→ 07 Intrastat</t>
  </si>
  <si>
    <t>The VAT return, box by box.</t>
  </si>
  <si>
    <t>Box calculation from the source lines, comparison with the declaration, and the Swedish draft.</t>
  </si>
  <si>
    <t>BOX CALCULATION</t>
  </si>
  <si>
    <t>→ tax codes behind these boxes</t>
  </si>
  <si>
    <t>Basis</t>
  </si>
  <si>
    <t>Net by tax code</t>
  </si>
  <si>
    <t>Tax code; ADJ-001 moves the 6% part out</t>
  </si>
  <si>
    <t>No 12% code used in March</t>
  </si>
  <si>
    <t>Approved split ADJ-001 (08 Trail)</t>
  </si>
  <si>
    <t>Self-assessed VAT, reverse-charge codes</t>
  </si>
  <si>
    <t>Deductible VAT, all AP codes</t>
  </si>
  <si>
    <t>Box 10 + 11 + 12 + 30 − 48</t>
  </si>
  <si>
    <t>COMPARISON WITH YOUR DRAFT RETURN</t>
  </si>
  <si>
    <t>Why boxes 10 and 12: AR-2026-022 was booked as one 25% line with 17.00% VAT. The invoice shows 25% on 55,000.00 and 6% on 40,000.00. The approved split moves 2,400.00 SEK from box 10 to box 12; VAT to pay is unchanged.</t>
  </si>
  <si>
    <t>MOMSDEKLARATION — WORKING DRAFT</t>
  </si>
  <si>
    <t>Swedish VAT return line (SV · EN)</t>
  </si>
  <si>
    <t>SEK</t>
  </si>
  <si>
    <t>Momspliktig försäljning · Taxable sales</t>
  </si>
  <si>
    <t>Utgående moms 25 % · Output VAT 25%</t>
  </si>
  <si>
    <t>Utgående moms 12 % · Output VAT 12%</t>
  </si>
  <si>
    <t>Utgående moms 6 % · Output VAT 6%</t>
  </si>
  <si>
    <t>Inköp av varor från ett annat EU-land · EU goods purchases</t>
  </si>
  <si>
    <t>Inköp av tjänster från ett annat EU-land · EU services purchases</t>
  </si>
  <si>
    <t>Inköp av tjänster från ett land utanför EU · Non-EU services purchases</t>
  </si>
  <si>
    <t>Utgående moms 25 % · Output VAT on purchases 25%</t>
  </si>
  <si>
    <t>Försäljning av varor till ett annat EU-land · EU goods sales</t>
  </si>
  <si>
    <t>Försäljning av tjänster till näringsidkare i ett annat EU-land · EU B2B services</t>
  </si>
  <si>
    <t>Ingående moms att dra av · Deductible input VAT</t>
  </si>
  <si>
    <t>Moms att betala eller få tillbaka · VAT to pay</t>
  </si>
  <si>
    <t>Working draft — not a filing. Whole kronor with öre dropped, as the return is filed with Skatteverket.</t>
  </si>
  <si>
    <t>TAX CODES BEHIND THE BOXES</t>
  </si>
  <si>
    <t>Tax code</t>
  </si>
  <si>
    <t>Ledger</t>
  </si>
  <si>
    <t>Rate</t>
  </si>
  <si>
    <t>Reverse charge</t>
  </si>
  <si>
    <t>VAT boxes</t>
  </si>
  <si>
    <t>GL account</t>
  </si>
  <si>
    <t>SE_SG_25</t>
  </si>
  <si>
    <t>Domestic goods</t>
  </si>
  <si>
    <t>AR</t>
  </si>
  <si>
    <t>No</t>
  </si>
  <si>
    <t>05 + 10</t>
  </si>
  <si>
    <t>3000</t>
  </si>
  <si>
    <t>SE_SG_06</t>
  </si>
  <si>
    <t>Domestic goods 6% (books, printed handbooks)</t>
  </si>
  <si>
    <t>05 + 12</t>
  </si>
  <si>
    <t>3006</t>
  </si>
  <si>
    <t>SE_SG_NL_EU</t>
  </si>
  <si>
    <t>EU dispatch of goods</t>
  </si>
  <si>
    <t>3100</t>
  </si>
  <si>
    <t>SE_SERV_NL_EU</t>
  </si>
  <si>
    <t>3110</t>
  </si>
  <si>
    <t>SE_AP_25</t>
  </si>
  <si>
    <t>Domestic deductible purchase</t>
  </si>
  <si>
    <t>AP</t>
  </si>
  <si>
    <t>4000</t>
  </si>
  <si>
    <t>SE_IC_SERV</t>
  </si>
  <si>
    <t>EU reverse-charge services</t>
  </si>
  <si>
    <t>Yes</t>
  </si>
  <si>
    <t>21 + 30 + 48</t>
  </si>
  <si>
    <t>4535</t>
  </si>
  <si>
    <t>SE_EXEU_SERV</t>
  </si>
  <si>
    <t>Non-EU reverse-charge services</t>
  </si>
  <si>
    <t>22 + 30 + 48</t>
  </si>
  <si>
    <t>4531</t>
  </si>
  <si>
    <t>SE_IC_SG</t>
  </si>
  <si>
    <t>EU reverse-charge goods</t>
  </si>
  <si>
    <t>20 + 30 + 48</t>
  </si>
  <si>
    <t>4515</t>
  </si>
  <si>
    <t>Net base (SEK)</t>
  </si>
  <si>
    <t>VAT booked (SEK)</t>
  </si>
  <si>
    <t>RC output (SEK)</t>
  </si>
  <si>
    <t>Deductible VAT (SEK)</t>
  </si>
  <si>
    <t>Source lines</t>
  </si>
  <si>
    <t>Total</t>
  </si>
  <si>
    <t>The declaration, tied to the ledger.</t>
  </si>
  <si>
    <t>For a company with no tax codes, the accounts are the source. Same period, same answer — or a finding.</t>
  </si>
  <si>
    <t>TRIAL BALANCE · MARCH 2026 (VAT-RELEVANT ACCOUNTS, BEFORE THE MONTH-END VAT TRANSFER)</t>
  </si>
  <si>
    <t>Account</t>
  </si>
  <si>
    <t>Opening</t>
  </si>
  <si>
    <t>Debit</t>
  </si>
  <si>
    <t>Credit</t>
  </si>
  <si>
    <t>Closing</t>
  </si>
  <si>
    <t>Sales, domestic 25%</t>
  </si>
  <si>
    <t>Sales, domestic 6%</t>
  </si>
  <si>
    <t>Sales of goods to another EU country</t>
  </si>
  <si>
    <t>Sales of services to another EU country</t>
  </si>
  <si>
    <t>Purchases, domestic</t>
  </si>
  <si>
    <t>Services from outside the EU</t>
  </si>
  <si>
    <t>Services from another EU country</t>
  </si>
  <si>
    <t>2611</t>
  </si>
  <si>
    <t>Output VAT 25%</t>
  </si>
  <si>
    <t>2621</t>
  </si>
  <si>
    <t>Output VAT 12%</t>
  </si>
  <si>
    <t>2631</t>
  </si>
  <si>
    <t>Output VAT 6%</t>
  </si>
  <si>
    <t>2614</t>
  </si>
  <si>
    <t>Output VAT, reverse charge 25%</t>
  </si>
  <si>
    <t>2641</t>
  </si>
  <si>
    <t>Input VAT, domestic</t>
  </si>
  <si>
    <t>2645</t>
  </si>
  <si>
    <t>Input VAT on foreign acquisitions</t>
  </si>
  <si>
    <t>2650</t>
  </si>
  <si>
    <t>VAT settlement account</t>
  </si>
  <si>
    <t>1630</t>
  </si>
  <si>
    <t>Tax account (skattekonto)</t>
  </si>
  <si>
    <t>1930</t>
  </si>
  <si>
    <t>Bank (VAT payments only)</t>
  </si>
  <si>
    <t>Illustrative BAS accounts, exactly as the client booked them. VAT is paid through the tax account: on 12 March the January return was paid (2650 → 1630, funded from 1930); the February return is due on 13 April 2026.</t>
  </si>
  <si>
    <t>RETURNS ALREADY FILED</t>
  </si>
  <si>
    <t>Box 49 (SEK)</t>
  </si>
  <si>
    <t>Due</t>
  </si>
  <si>
    <t>Paid</t>
  </si>
  <si>
    <t>January 2026</t>
  </si>
  <si>
    <t>February 2026</t>
  </si>
  <si>
    <t>CONTROLS · LEDGER AGAINST THE DECLARATION</t>
  </si>
  <si>
    <t>Compared with</t>
  </si>
  <si>
    <t>Note</t>
  </si>
  <si>
    <t>Ledger holds the mixed-rate invoice in full</t>
  </si>
  <si>
    <t>The 6% part was split in the declaration only</t>
  </si>
  <si>
    <t>Output VAT, total</t>
  </si>
  <si>
    <t>Total output VAT agrees</t>
  </si>
  <si>
    <t>Reverse-charge output</t>
  </si>
  <si>
    <t>Self-assessed VAT agrees</t>
  </si>
  <si>
    <t>All VAT accounts net to the amount payable</t>
  </si>
  <si>
    <t>Revenue × rate</t>
  </si>
  <si>
    <t>Without opening an invoice: 40,000.00 sold at 6% sits on the 25% revenue account</t>
  </si>
  <si>
    <t>Sales accounts vs boxes 05, 35, 39</t>
  </si>
  <si>
    <t>Every sale on the ledger reached a box</t>
  </si>
  <si>
    <t>Acquisition accounts vs boxes 20, 21, 22</t>
  </si>
  <si>
    <t>Every reverse-charge purchase reached a box</t>
  </si>
  <si>
    <t>VAT on the accounts vs VAT on the invoices</t>
  </si>
  <si>
    <t>No VAT booked by journal without an invoice</t>
  </si>
  <si>
    <t>Settlement account vs February return</t>
  </si>
  <si>
    <t>2650 holds exactly the return still to be paid</t>
  </si>
  <si>
    <t>March payment vs January return</t>
  </si>
  <si>
    <t>The payment matches the return it settles</t>
  </si>
  <si>
    <t>Difference is ledger less declaration. Three rows are expected to differ: the split exists in the declaration, not in the client's books (EX-002).</t>
  </si>
  <si>
    <t>ENTRY THAT WOULD ALIGN THE LEDGER · FOR THE CLIENT TO DECIDE</t>
  </si>
  <si>
    <t>Amount (SEK)</t>
  </si>
  <si>
    <t>Reason</t>
  </si>
  <si>
    <t>3000 Sales, domestic 25%</t>
  </si>
  <si>
    <t>3006 Sales, domestic 6%</t>
  </si>
  <si>
    <t>The 6% part of AR-2026-022</t>
  </si>
  <si>
    <t>2611 Output VAT 25%</t>
  </si>
  <si>
    <t>2631 Output VAT 6%</t>
  </si>
  <si>
    <t>The VAT on that part</t>
  </si>
  <si>
    <t>Vatli does not post to the client's ledger and does not give tax advice. The entry shows what would make the books match the reviewed declaration; whether to book it is the client's decision.</t>
  </si>
  <si>
    <t>Every document, every line.</t>
  </si>
  <si>
    <t>39 March documents and the 65 source lines behind them. Amounts, rates and booked VAT are the client's source data; checks are formulas.</t>
  </si>
  <si>
    <t>INVOICE REGISTER</t>
  </si>
  <si>
    <t>Invoice ID</t>
  </si>
  <si>
    <t>Invoice date</t>
  </si>
  <si>
    <t>Counterparty</t>
  </si>
  <si>
    <t>Country</t>
  </si>
  <si>
    <t>VAT ID</t>
  </si>
  <si>
    <t>Document currency</t>
  </si>
  <si>
    <t>FX rate</t>
  </si>
  <si>
    <t>Net (doc)</t>
  </si>
  <si>
    <t>VAT (doc)</t>
  </si>
  <si>
    <t>Gross (doc)</t>
  </si>
  <si>
    <t>Net (SEK)</t>
  </si>
  <si>
    <t>VAT (SEK)</t>
  </si>
  <si>
    <t>Gross (SEK)</t>
  </si>
  <si>
    <t>Source</t>
  </si>
  <si>
    <t>AR-2026-001</t>
  </si>
  <si>
    <t>Alfa Assembly AB (demo)</t>
  </si>
  <si>
    <t>SE</t>
  </si>
  <si>
    <t>SE-DEMO-C001</t>
  </si>
  <si>
    <t>AR output 03 2026</t>
  </si>
  <si>
    <t>AR-2026-002</t>
  </si>
  <si>
    <t>Beta Technology AB (demo)</t>
  </si>
  <si>
    <t>SE-DEMO-C002</t>
  </si>
  <si>
    <t>AR-2026-003</t>
  </si>
  <si>
    <t>Gamma Systems AB (demo)</t>
  </si>
  <si>
    <t>SE-DEMO-C003</t>
  </si>
  <si>
    <t>AR-2026-004</t>
  </si>
  <si>
    <t>Delta Production AB (demo)</t>
  </si>
  <si>
    <t>SE-DEMO-C004</t>
  </si>
  <si>
    <t>AR-2026-005</t>
  </si>
  <si>
    <t>Epsilon Engineering AB (demo)</t>
  </si>
  <si>
    <t>SE-DEMO-C005</t>
  </si>
  <si>
    <t>AR-2026-006</t>
  </si>
  <si>
    <t>Zeta Automation AB (demo)</t>
  </si>
  <si>
    <t>SE-DEMO-C006</t>
  </si>
  <si>
    <t>AR-2026-007</t>
  </si>
  <si>
    <t>AR-2026-008</t>
  </si>
  <si>
    <t>AR-2026-009</t>
  </si>
  <si>
    <t>AR-2026-010</t>
  </si>
  <si>
    <t>AR-2026-011</t>
  </si>
  <si>
    <t>AR-2026-012</t>
  </si>
  <si>
    <t>AR-2026-013</t>
  </si>
  <si>
    <t>Eta Handel GmbH (demo)</t>
  </si>
  <si>
    <t>DE</t>
  </si>
  <si>
    <t>DE-DEMO-C007</t>
  </si>
  <si>
    <t>EUR</t>
  </si>
  <si>
    <t>AR-2026-014</t>
  </si>
  <si>
    <t>Theta Digital GmbH (demo)</t>
  </si>
  <si>
    <t>DE-DEMO-C008</t>
  </si>
  <si>
    <t>AR-2026-015</t>
  </si>
  <si>
    <t>Iota Advisory GmbH (demo)</t>
  </si>
  <si>
    <t>DE-DEMO-C009</t>
  </si>
  <si>
    <t>AR-2026-016</t>
  </si>
  <si>
    <t>Kappa Automation ApS (demo)</t>
  </si>
  <si>
    <t>DK</t>
  </si>
  <si>
    <t>DK-DEMO-C010</t>
  </si>
  <si>
    <t>DKK</t>
  </si>
  <si>
    <t>AR-2026-017</t>
  </si>
  <si>
    <t>Lambda Handel ApS (demo)</t>
  </si>
  <si>
    <t>DK-DEMO-C011</t>
  </si>
  <si>
    <t>AR-2026-018</t>
  </si>
  <si>
    <t>Mu Consulting ApS (demo)</t>
  </si>
  <si>
    <t>DK-DEMO-C012</t>
  </si>
  <si>
    <t>AR-2026-019</t>
  </si>
  <si>
    <t>Nu Components Oy (demo)</t>
  </si>
  <si>
    <t>FI</t>
  </si>
  <si>
    <t>FI-DEMO-C013</t>
  </si>
  <si>
    <t>AR-2026-020</t>
  </si>
  <si>
    <t>Xi Devices Oy (demo)</t>
  </si>
  <si>
    <t>FI-DEMO-C014</t>
  </si>
  <si>
    <t>AR-2026-021</t>
  </si>
  <si>
    <t>Omicron Solutions Oy (demo)</t>
  </si>
  <si>
    <t>FI-DEMO-C015</t>
  </si>
  <si>
    <t>AP-2026-001</t>
  </si>
  <si>
    <t>Primus Components AB (demo)</t>
  </si>
  <si>
    <t>SE-DEMO-V001</t>
  </si>
  <si>
    <t>AP input 03 2026</t>
  </si>
  <si>
    <t>AP-2026-002</t>
  </si>
  <si>
    <t>Secundus Logistics AB (demo)</t>
  </si>
  <si>
    <t>SE-DEMO-V002</t>
  </si>
  <si>
    <t>AP-2026-003</t>
  </si>
  <si>
    <t>Tertius Office Systems AB (demo)</t>
  </si>
  <si>
    <t>SE-DEMO-V003</t>
  </si>
  <si>
    <t>AP-2026-004</t>
  </si>
  <si>
    <t>Quartus Industrial AB (demo)</t>
  </si>
  <si>
    <t>SE-DEMO-V004</t>
  </si>
  <si>
    <t>AP-2026-005</t>
  </si>
  <si>
    <t>Quintus Data Services AB (demo)</t>
  </si>
  <si>
    <t>SE-DEMO-V005</t>
  </si>
  <si>
    <t>AP-2026-006</t>
  </si>
  <si>
    <t>Sextus Packaging AB (demo)</t>
  </si>
  <si>
    <t>SE-DEMO-V006</t>
  </si>
  <si>
    <t>AP-2026-007</t>
  </si>
  <si>
    <t>Septimus Facilities AB (demo)</t>
  </si>
  <si>
    <t>SE-DEMO-V007</t>
  </si>
  <si>
    <t>AP-2026-008</t>
  </si>
  <si>
    <t>AP-2026-009</t>
  </si>
  <si>
    <t>AP-2026-010</t>
  </si>
  <si>
    <t>AP-2026-011</t>
  </si>
  <si>
    <t>AP-2026-012</t>
  </si>
  <si>
    <t>AP-2026-013</t>
  </si>
  <si>
    <t>AP-2026-014</t>
  </si>
  <si>
    <t>AP-2026-015</t>
  </si>
  <si>
    <t>Octavus Process GmbH (demo)</t>
  </si>
  <si>
    <t>DE-DEMO-V008</t>
  </si>
  <si>
    <t>Nonus Cloud Inc (demo)</t>
  </si>
  <si>
    <t>US</t>
  </si>
  <si>
    <t>US-DEMO-V009</t>
  </si>
  <si>
    <t>USD</t>
  </si>
  <si>
    <t>AP-2026-017</t>
  </si>
  <si>
    <t>Decimus Devices ApS (demo)</t>
  </si>
  <si>
    <t>DK-DEMO-V010</t>
  </si>
  <si>
    <t>SOURCE LINES</t>
  </si>
  <si>
    <t>VAT difference (doc)</t>
  </si>
  <si>
    <t>Line ID</t>
  </si>
  <si>
    <t>Code rate</t>
  </si>
  <si>
    <t>VAT booked (doc)</t>
  </si>
  <si>
    <t>Expected VAT (doc)</t>
  </si>
  <si>
    <t>Effective rate</t>
  </si>
  <si>
    <t>Quantity</t>
  </si>
  <si>
    <t>Unit price (doc)</t>
  </si>
  <si>
    <t>AR-2026-001-L1</t>
  </si>
  <si>
    <t>Industrial input device assemblies / batch A</t>
  </si>
  <si>
    <t>AR-2026-001-L2</t>
  </si>
  <si>
    <t>Industrial input device assemblies / batch B</t>
  </si>
  <si>
    <t>AR-2026-002-L1</t>
  </si>
  <si>
    <t>AR-2026-002-L2</t>
  </si>
  <si>
    <t>AR-2026-003-L1</t>
  </si>
  <si>
    <t>AR-2026-003-L2</t>
  </si>
  <si>
    <t>AR-2026-004-L1</t>
  </si>
  <si>
    <t>AR-2026-004-L2</t>
  </si>
  <si>
    <t>AR-2026-005-L1</t>
  </si>
  <si>
    <t>AR-2026-005-L2</t>
  </si>
  <si>
    <t>AR-2026-006-L1</t>
  </si>
  <si>
    <t>AR-2026-006-L2</t>
  </si>
  <si>
    <t>AR-2026-007-L1</t>
  </si>
  <si>
    <t>AR-2026-007-L2</t>
  </si>
  <si>
    <t>AR-2026-008-L1</t>
  </si>
  <si>
    <t>AR-2026-008-L2</t>
  </si>
  <si>
    <t>AR-2026-009-L1</t>
  </si>
  <si>
    <t>AR-2026-009-L2</t>
  </si>
  <si>
    <t>AR-2026-010-L1</t>
  </si>
  <si>
    <t>AR-2026-010-L2</t>
  </si>
  <si>
    <t>AR-2026-011-L1</t>
  </si>
  <si>
    <t>AR-2026-011-L2</t>
  </si>
  <si>
    <t>AR-2026-012-L1</t>
  </si>
  <si>
    <t>Price reduction — batch A</t>
  </si>
  <si>
    <t>AR-2026-012-L2</t>
  </si>
  <si>
    <t>Price reduction — batch B</t>
  </si>
  <si>
    <t>AR-2026-013-L1</t>
  </si>
  <si>
    <t>Input device assemblies - export batch</t>
  </si>
  <si>
    <t>AR-2026-014-L1</t>
  </si>
  <si>
    <t>AR-2026-015-L1</t>
  </si>
  <si>
    <t>Engineering support - March</t>
  </si>
  <si>
    <t>AR-2026-016-L1</t>
  </si>
  <si>
    <t>AR-2026-017-L1</t>
  </si>
  <si>
    <t>AR-2026-018-L1</t>
  </si>
  <si>
    <t>AR-2026-019-L1</t>
  </si>
  <si>
    <t>AR-2026-020-L1</t>
  </si>
  <si>
    <t>AR-2026-021-L1</t>
  </si>
  <si>
    <t>AR-2026-022-L1</t>
  </si>
  <si>
    <t>Input device assemblies and printed handbooks</t>
  </si>
  <si>
    <t>AP-2026-001-L1</t>
  </si>
  <si>
    <t>Industrial components / batch A</t>
  </si>
  <si>
    <t>AP-2026-001-L2</t>
  </si>
  <si>
    <t>Industrial components / batch B</t>
  </si>
  <si>
    <t>AP-2026-002-L1</t>
  </si>
  <si>
    <t>Logistics and handling / batch A</t>
  </si>
  <si>
    <t>AP-2026-002-L2</t>
  </si>
  <si>
    <t>Logistics and handling / batch B</t>
  </si>
  <si>
    <t>AP-2026-003-L1</t>
  </si>
  <si>
    <t>Office equipment / batch A</t>
  </si>
  <si>
    <t>AP-2026-003-L2</t>
  </si>
  <si>
    <t>Office equipment / batch B</t>
  </si>
  <si>
    <t>AP-2026-004-L1</t>
  </si>
  <si>
    <t>Maintenance materials / batch A</t>
  </si>
  <si>
    <t>AP-2026-004-L2</t>
  </si>
  <si>
    <t>Maintenance materials / batch B</t>
  </si>
  <si>
    <t>AP-2026-005-L1</t>
  </si>
  <si>
    <t>IT support / batch A</t>
  </si>
  <si>
    <t>AP-2026-005-L2</t>
  </si>
  <si>
    <t>IT support / batch B</t>
  </si>
  <si>
    <t>AP-2026-006-L1</t>
  </si>
  <si>
    <t>Packaging / batch A</t>
  </si>
  <si>
    <t>AP-2026-006-L2</t>
  </si>
  <si>
    <t>Packaging / batch B</t>
  </si>
  <si>
    <t>AP-2026-007-L1</t>
  </si>
  <si>
    <t>Facilities services / batch A</t>
  </si>
  <si>
    <t>AP-2026-007-L2</t>
  </si>
  <si>
    <t>Facilities services / batch B</t>
  </si>
  <si>
    <t>AP-2026-008-L1</t>
  </si>
  <si>
    <t>AP-2026-008-L2</t>
  </si>
  <si>
    <t>AP-2026-009-L1</t>
  </si>
  <si>
    <t>AP-2026-009-L2</t>
  </si>
  <si>
    <t>AP-2026-010-L1</t>
  </si>
  <si>
    <t>AP-2026-010-L2</t>
  </si>
  <si>
    <t>AP-2026-011-L1</t>
  </si>
  <si>
    <t>AP-2026-011-L2</t>
  </si>
  <si>
    <t>AP-2026-012-L1</t>
  </si>
  <si>
    <t>AP-2026-012-L2</t>
  </si>
  <si>
    <t>AP-2026-013-L1</t>
  </si>
  <si>
    <t>AP-2026-013-L2</t>
  </si>
  <si>
    <t>AP-2026-014-L1</t>
  </si>
  <si>
    <t>Credit - cancelled IT support charge / batch A</t>
  </si>
  <si>
    <t>AP-2026-014-L2</t>
  </si>
  <si>
    <t>Credit - cancelled IT support charge / batch B</t>
  </si>
  <si>
    <t>AP-2026-015-L1</t>
  </si>
  <si>
    <t>EU consulting</t>
  </si>
  <si>
    <t>AP-2026-016-L1</t>
  </si>
  <si>
    <t>Cloud services</t>
  </si>
  <si>
    <t>AP-2026-017-L1</t>
  </si>
  <si>
    <t>Input device components</t>
  </si>
  <si>
    <t>VAT difference compares VAT booked with net × the tax code's rate. Reverse-charge lines carry no VAT from the supplier; the self-assessed VAT (RC output) is calculated from the code's rate.</t>
  </si>
  <si>
    <t>FX · RATE BOOKED AGAINST THE RIKSBANK RATE</t>
  </si>
  <si>
    <t>Invoice</t>
  </si>
  <si>
    <t>Rate booked</t>
  </si>
  <si>
    <t>Riksbank rate</t>
  </si>
  <si>
    <t>Rate date</t>
  </si>
  <si>
    <t>Rate difference</t>
  </si>
  <si>
    <t>Net (SEK) booked</t>
  </si>
  <si>
    <t>At Riksbank rate</t>
  </si>
  <si>
    <t>Riksbank daily rates for March 2026 (SWEA API, pinned in riksbank_rates_2026_03.csv): the rate of the invoice date, or the last one published before it — the same rule Vatli applies to Swedish returns. A booked rate more than 2% away from it is raised as a finding.</t>
  </si>
  <si>
    <t>EU sales list.</t>
  </si>
  <si>
    <t>Every intra-EU supply, per customer, as the recapitulative statement (periodisk sammanställning) reports it.</t>
  </si>
  <si>
    <t>EU SALES · BY INVOICE</t>
  </si>
  <si>
    <t>VAT ID check</t>
  </si>
  <si>
    <t>Supply type</t>
  </si>
  <si>
    <t>Goods (SEK)</t>
  </si>
  <si>
    <t>Services (SEK)</t>
  </si>
  <si>
    <t>Goods</t>
  </si>
  <si>
    <t>Services</t>
  </si>
  <si>
    <t>EU SALES LIST — WORKING DRAFT</t>
  </si>
  <si>
    <t>Customer VAT number</t>
  </si>
  <si>
    <t>Triangulation (SEK)</t>
  </si>
  <si>
    <t>Working draft — not a filing. Whole kronor, one line per customer VAT number. Goods tie to box 35 and services to box 39. On the Swedish form the columns read varor, trepartshandel and tjänster. VAT ID check: present and prefixed with the customer's country — demo IDs are not VIES-validated.</t>
  </si>
  <si>
    <t>Intrastat dispatches.</t>
  </si>
  <si>
    <t>Goods that physically left Sweden — the trade statistics report to SCB, not the VAT one.</t>
  </si>
  <si>
    <t>REPORTING OBLIGATION · SCB THRESHOLDS</t>
  </si>
  <si>
    <t>Flow</t>
  </si>
  <si>
    <t>Apr 2025 – Feb 2026</t>
  </si>
  <si>
    <t>March 2026</t>
  </si>
  <si>
    <t>12 months</t>
  </si>
  <si>
    <t>SCB threshold</t>
  </si>
  <si>
    <t>Result</t>
  </si>
  <si>
    <t>Dispatches (box 35)</t>
  </si>
  <si>
    <t>Arrivals (box 20)</t>
  </si>
  <si>
    <t>SCB decides the obligation from boxes 35 and 20 of the VAT returns over a rolling 12 months: 12 MSEK for dispatches and 15 MSEK for arrivals (Intrastat handbook 2026). Earlier months are fictional.</t>
  </si>
  <si>
    <t>DISPATCHES · BY INVOICE</t>
  </si>
  <si>
    <t>Destination</t>
  </si>
  <si>
    <t>Origin</t>
  </si>
  <si>
    <t>CN8</t>
  </si>
  <si>
    <t>Commodity</t>
  </si>
  <si>
    <t>Invoice value (SEK)</t>
  </si>
  <si>
    <t>Net mass kg</t>
  </si>
  <si>
    <t>Supplementary units</t>
  </si>
  <si>
    <t>Nature of transaction</t>
  </si>
  <si>
    <t>Partner VAT ID</t>
  </si>
  <si>
    <t>84716070</t>
  </si>
  <si>
    <t>Input device assemblies</t>
  </si>
  <si>
    <t>84733020</t>
  </si>
  <si>
    <t>Electronic assemblies for data-processing machines</t>
  </si>
  <si>
    <t>INTRASTAT — WORKING DRAFT</t>
  </si>
  <si>
    <t>Destination country</t>
  </si>
  <si>
    <t>Country of origin</t>
  </si>
  <si>
    <t>Invoiced value (SEK)</t>
  </si>
  <si>
    <t>Working draft — not a filing. CN8, country of origin, mass and supplementary units are illustrative enrichment; a financial ledger does not carry them, and the goods' classification is the client's. Supplementary units (pieces) apply to 84716070 only. Nature of transaction 11 = outright sale.</t>
  </si>
  <si>
    <t>A decision you can trace.</t>
  </si>
  <si>
    <t>Who did what, in which order, and on what evidence.</t>
  </si>
  <si>
    <t>Event ID</t>
  </si>
  <si>
    <t>Timestamp (UTC)</t>
  </si>
  <si>
    <t>Actor</t>
  </si>
  <si>
    <t>Action</t>
  </si>
  <si>
    <t>Document / box</t>
  </si>
  <si>
    <t>AUD-001</t>
  </si>
  <si>
    <t>2026-04-02 09:41:05</t>
  </si>
  <si>
    <t>Demo engine</t>
  </si>
  <si>
    <t>Import source</t>
  </si>
  <si>
    <t>Sweden AR output 03 2026.xlsx + Sweden AP input 03 2026.xlsx</t>
  </si>
  <si>
    <t>65 source lines</t>
  </si>
  <si>
    <t>AUD-002</t>
  </si>
  <si>
    <t>2026-04-02 09:41:10</t>
  </si>
  <si>
    <t>Classify</t>
  </si>
  <si>
    <t>Applied the client's tax-code mapping</t>
  </si>
  <si>
    <t>8 tax codes</t>
  </si>
  <si>
    <t>Classified</t>
  </si>
  <si>
    <t>AUD-003</t>
  </si>
  <si>
    <t>2026-04-02 09:41:15</t>
  </si>
  <si>
    <t>Calculate</t>
  </si>
  <si>
    <t>VAT to pay from source</t>
  </si>
  <si>
    <t>AUD-004</t>
  </si>
  <si>
    <t>2026-04-02 09:41:20</t>
  </si>
  <si>
    <t>Enter comparison</t>
  </si>
  <si>
    <t>Declaration boxes entered</t>
  </si>
  <si>
    <t>Comparison entered</t>
  </si>
  <si>
    <t>AUD-005</t>
  </si>
  <si>
    <t>2026-04-02 09:41:25</t>
  </si>
  <si>
    <t>Flag difference</t>
  </si>
  <si>
    <t>Declaration less source: box 10 −2,400.00 · box 12 +2,400.00</t>
  </si>
  <si>
    <t>Boxes 10 / 12</t>
  </si>
  <si>
    <t>AUD-006</t>
  </si>
  <si>
    <t>2026-04-02 09:42:30</t>
  </si>
  <si>
    <t>Flag rate</t>
  </si>
  <si>
    <t>AR-2026-022 · booked VAT is 17.00% of net</t>
  </si>
  <si>
    <t>Review required</t>
  </si>
  <si>
    <t>AUD-007</t>
  </si>
  <si>
    <t>2026-04-02 09:42:35</t>
  </si>
  <si>
    <t>Review document</t>
  </si>
  <si>
    <t>Invoice: 25% on 55,000.00 + 6% on 40,000.00</t>
  </si>
  <si>
    <t>Invoice evidence checked</t>
  </si>
  <si>
    <t>AUD-008</t>
  </si>
  <si>
    <t>2026-04-02 09:42:40</t>
  </si>
  <si>
    <t>Approve split</t>
  </si>
  <si>
    <t>ADJ-001</t>
  </si>
  <si>
    <t>Approved</t>
  </si>
  <si>
    <t>AUD-009</t>
  </si>
  <si>
    <t>2026-04-02 09:42:45</t>
  </si>
  <si>
    <t>Reconcile boxes</t>
  </si>
  <si>
    <t>All box differences 0.00</t>
  </si>
  <si>
    <t>Reconciled</t>
  </si>
  <si>
    <t>AUD-010</t>
  </si>
  <si>
    <t>2026-04-02 09:43:00</t>
  </si>
  <si>
    <t>Pull FX rates</t>
  </si>
  <si>
    <t>Riksbank daily rates for March 2026 (SWEA API)</t>
  </si>
  <si>
    <t>EUR · USD · DKK</t>
  </si>
  <si>
    <t>5 documents checked</t>
  </si>
  <si>
    <t>AUD-011</t>
  </si>
  <si>
    <t>2026-04-02 09:43:05</t>
  </si>
  <si>
    <t>Flag FX rate</t>
  </si>
  <si>
    <t>AP-2026-016 booked at 10.4000; Riksbank 9.3315 (11.5% apart)</t>
  </si>
  <si>
    <t>AUD-012</t>
  </si>
  <si>
    <t>2026-04-02 09:43:30</t>
  </si>
  <si>
    <t>Reconcile ledger</t>
  </si>
  <si>
    <t>GL 2611 = 328,650.00 vs box 10 = 326,250.00</t>
  </si>
  <si>
    <t>GL 2611 / 2631</t>
  </si>
  <si>
    <t>AUD-013</t>
  </si>
  <si>
    <t>2026-04-02 09:44:10</t>
  </si>
  <si>
    <t>Share with client</t>
  </si>
  <si>
    <t>The ledger difference (with the entry that would align it) and the FX rate question, for the client's own decision</t>
  </si>
  <si>
    <t>EX-002 · EX-003</t>
  </si>
  <si>
    <t>Open with client</t>
  </si>
  <si>
    <t>AUD-014</t>
  </si>
  <si>
    <t>2026-04-02 09:45:00</t>
  </si>
  <si>
    <t>Export working pack</t>
  </si>
  <si>
    <t>This workbook</t>
  </si>
  <si>
    <t>Working report ready</t>
  </si>
  <si>
    <t>APPROVED ADJUSTMENT · ADJ-001</t>
  </si>
  <si>
    <t>Source line</t>
  </si>
  <si>
    <t>Split into</t>
  </si>
  <si>
    <t>Approver</t>
  </si>
  <si>
    <t>Input device assemblies · 5 × 11,000.00</t>
  </si>
  <si>
    <t>Printed operator handbooks · 200 × 200.00</t>
  </si>
  <si>
    <t>The booked line AR-2026-022-L1 (95,000.00 net / 16,150.00 VAT on SE_SG_25) stays in the source exactly as booked; the split changes only the reviewed calculation. The invoice decides the rates: 17% would also fit 25% + 12%.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</si>
</sst>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yyyy\-mm\-dd"/>
    <numFmt numFmtId="165" formatCode="0.0000"/>
    <numFmt numFmtId="166" formatCode="#,##0.00;[Red]\(#,##0.00\);&quot;–&quot;"/>
    <numFmt numFmtId="167" formatCode="#,##0.00&quot; difference&quot;;\-#,##0.00&quot; difference&quot;;&quot;0.00 difference&quot;"/>
    <numFmt numFmtId="168" formatCode="0.0%"/>
    <numFmt numFmtId="169" formatCode="#,##0.00&quot; SEK difference&quot;;\-#,##0.00&quot; SEK difference&quot;;&quot;0.00 SEK difference&quot;"/>
    <numFmt numFmtId="170" formatCode="#,##0;[Red]\(#,##0\);&quot;–&quot;"/>
    <numFmt numFmtId="171" formatCode="0&quot; not explained&quot;;\-0&quot; not explained&quot;;&quot;0 not explained&quot;"/>
    <numFmt numFmtId="172" formatCode="\+0.0%;\-0.0%;0.0%"/>
    <numFmt numFmtId="173" formatCode="#,##0.00&quot; SEK&quot;"/>
    <numFmt numFmtId="174" formatCode="0&quot; to decide&quot;;0;&quot;none&quot;"/>
  </numFmts>
  <fonts count="13" x14ac:knownFonts="1">
    <font>
      <sz val="11"/>
      <color theme="1"/>
      <name val="Calibri"/>
      <family val="2"/>
      <scheme val="minor"/>
    </font>
    <font>
      <sz val="9"/>
      <color rgb="FF6B7C88"/>
      <name val="Aptos Narrow"/>
    </font>
    <font>
      <u/>
      <sz val="9"/>
      <color rgb="FF1F6FEB"/>
      <name val="Aptos Narrow"/>
    </font>
    <font>
      <b/>
      <sz val="16"/>
      <color rgb="FF1B2B36"/>
      <name val="Aptos"/>
    </font>
    <font>
      <sz val="10"/>
      <color rgb="FF6B7C88"/>
      <name val="Aptos Narrow"/>
    </font>
    <font>
      <b/>
      <sz val="9"/>
      <color rgb="FF6B7C88"/>
      <name val="Aptos Narrow"/>
    </font>
    <font>
      <b/>
      <sz val="10"/>
      <color rgb="FFFFFFFF"/>
      <name val="Aptos Narrow"/>
    </font>
    <font>
      <sz val="10"/>
      <color rgb="FF1B2B36"/>
      <name val="Aptos Narrow"/>
    </font>
    <font>
      <b/>
      <sz val="10"/>
      <color rgb="FF1B2B36"/>
      <name val="Aptos Narrow"/>
    </font>
    <font>
      <i/>
      <sz val="9"/>
      <color rgb="FF6B7C88"/>
      <name val="Aptos Narrow"/>
    </font>
    <font>
      <u/>
      <sz val="10"/>
      <color rgb="FF1F6FEB"/>
      <name val="Aptos Narrow"/>
    </font>
    <font>
      <b/>
      <sz val="18"/>
      <color rgb="FF1B2B36"/>
      <name val="Aptos"/>
    </font>
    <font>
      <b/>
      <sz val="11"/>
      <color rgb="FF1E7A4B"/>
      <name val="Aptos"/>
    </font>
  </fonts>
  <fills count="5">
    <fill>
      <patternFill patternType="none"/>
    </fill>
    <fill>
      <patternFill patternType="gray125"/>
    </fill>
    <fill>
      <patternFill patternType="solid">
        <fgColor rgb="FF12303F"/>
      </patternFill>
    </fill>
    <fill>
      <patternFill patternType="solid">
        <fgColor rgb="FFEEF4F8"/>
      </patternFill>
    </fill>
    <fill>
      <patternFill patternType="solid">
        <fgColor rgb="FFE6F4EC"/>
      </patternFill>
    </fill>
  </fills>
  <borders count="2">
    <border>
      <left/>
      <right/>
      <top/>
      <bottom/>
      <diagonal/>
    </border>
    <border>
      <left style="thin">
        <color rgb="FFC9D6DF"/>
      </left>
      <right style="thin">
        <color rgb="FFC9D6DF"/>
      </right>
      <top style="thin">
        <color rgb="FFC9D6DF"/>
      </top>
      <bottom style="thin">
        <color rgb="FFC9D6DF"/>
      </bottom>
      <diagonal/>
    </border>
  </borders>
  <cellStyleXfs count="1">
    <xf numFmtId="0" fontId="0" fillId="0" borderId="0"/>
  </cellStyleXfs>
  <cellXfs count="49">
    <xf numFmtId="0" fontId="0" fillId="0" borderId="0" xfId="0"/>
    <xf numFmtId="0" fontId="1" fillId="0" borderId="0" xfId="0" applyFont="1"/>
    <xf numFmtId="0" fontId="3" fillId="0" borderId="0" xfId="0" applyFont="1"/>
    <xf numFmtId="0" fontId="4" fillId="0" borderId="0" xfId="0" applyFont="1"/>
    <xf numFmtId="0" fontId="9" fillId="0" borderId="0" xfId="0" applyFont="1"/>
    <xf numFmtId="0" fontId="7" fillId="0" borderId="0" xfId="0" applyFont="1"/>
    <xf numFmtId="0" fontId="5" fillId="0" borderId="0" xfId="0" applyFont="1"/>
    <xf numFmtId="0" fontId="6" fillId="2" borderId="1" xfId="0" applyFont="1" applyFill="1" applyBorder="1" applyAlignment="1">
      <alignment vertical="center" wrapText="1"/>
    </xf>
    <xf numFmtId="0" fontId="7" fillId="0" borderId="1" xfId="0" applyFont="1" applyBorder="1"/>
    <xf numFmtId="166" fontId="7" fillId="0" borderId="1" xfId="0" applyNumberFormat="1" applyFont="1" applyBorder="1"/>
    <xf numFmtId="169" fontId="7" fillId="0" borderId="1" xfId="0" applyNumberFormat="1" applyFont="1" applyBorder="1"/>
    <xf numFmtId="172" fontId="7" fillId="0" borderId="1" xfId="0" applyNumberFormat="1" applyFont="1" applyBorder="1" applyAlignment="1">
      <alignment horizontal="right"/>
    </xf>
    <xf numFmtId="0" fontId="7" fillId="3" borderId="1" xfId="0" applyFont="1" applyFill="1" applyBorder="1"/>
    <xf numFmtId="166" fontId="7" fillId="3" borderId="1" xfId="0" applyNumberFormat="1" applyFont="1" applyFill="1" applyBorder="1"/>
    <xf numFmtId="169" fontId="7" fillId="3" borderId="1" xfId="0" applyNumberFormat="1" applyFont="1" applyFill="1" applyBorder="1"/>
    <xf numFmtId="172" fontId="7" fillId="3" borderId="1" xfId="0" applyNumberFormat="1" applyFont="1" applyFill="1" applyBorder="1" applyAlignment="1">
      <alignment horizontal="right"/>
    </xf>
    <xf numFmtId="0" fontId="10" fillId="0" borderId="1" xfId="0" applyFont="1" applyBorder="1"/>
    <xf numFmtId="0" fontId="10" fillId="3" borderId="1" xfId="0" applyFont="1" applyFill="1" applyBorder="1"/>
    <xf numFmtId="164" fontId="7" fillId="0" borderId="1" xfId="0" applyNumberFormat="1" applyFont="1" applyBorder="1"/>
    <xf numFmtId="164" fontId="7" fillId="3" borderId="1" xfId="0" applyNumberFormat="1" applyFont="1" applyFill="1" applyBorder="1"/>
    <xf numFmtId="0" fontId="10" fillId="0" borderId="0" xfId="0" applyFont="1"/>
    <xf numFmtId="0" fontId="2" fillId="0" borderId="0" xfId="0" applyFont="1" applyAlignment="1">
      <alignment horizontal="right"/>
    </xf>
    <xf numFmtId="0" fontId="7" fillId="0" borderId="1" xfId="0" applyFont="1" applyBorder="1" applyAlignment="1">
      <alignment vertical="top" wrapText="1"/>
    </xf>
    <xf numFmtId="0" fontId="7" fillId="3" borderId="1" xfId="0" applyFont="1" applyFill="1" applyBorder="1" applyAlignment="1">
      <alignment vertical="top" wrapText="1"/>
    </xf>
    <xf numFmtId="171" fontId="7" fillId="3" borderId="1" xfId="0" applyNumberFormat="1" applyFont="1" applyFill="1" applyBorder="1"/>
    <xf numFmtId="1" fontId="7" fillId="3" borderId="1" xfId="0" applyNumberFormat="1" applyFont="1" applyFill="1" applyBorder="1"/>
    <xf numFmtId="171" fontId="7" fillId="0" borderId="1" xfId="0" applyNumberFormat="1" applyFont="1" applyBorder="1"/>
    <xf numFmtId="1" fontId="7" fillId="0" borderId="1" xfId="0" applyNumberFormat="1" applyFont="1" applyBorder="1"/>
    <xf numFmtId="170" fontId="7" fillId="0" borderId="1" xfId="0" applyNumberFormat="1" applyFont="1" applyBorder="1"/>
    <xf numFmtId="170" fontId="7" fillId="3" borderId="1" xfId="0" applyNumberFormat="1" applyFont="1" applyFill="1" applyBorder="1"/>
    <xf numFmtId="168" fontId="7" fillId="0" borderId="1" xfId="0" applyNumberFormat="1" applyFont="1" applyBorder="1"/>
    <xf numFmtId="168" fontId="7" fillId="3" borderId="1" xfId="0" applyNumberFormat="1" applyFont="1" applyFill="1" applyBorder="1"/>
    <xf numFmtId="0" fontId="8" fillId="0" borderId="1" xfId="0" applyFont="1" applyBorder="1"/>
    <xf numFmtId="166" fontId="8" fillId="0" borderId="1" xfId="0" applyNumberFormat="1" applyFont="1" applyBorder="1"/>
    <xf numFmtId="1" fontId="8" fillId="0" borderId="1" xfId="0" applyNumberFormat="1" applyFont="1" applyBorder="1"/>
    <xf numFmtId="165" fontId="7" fillId="0" borderId="1" xfId="0" applyNumberFormat="1" applyFont="1" applyBorder="1"/>
    <xf numFmtId="165" fontId="7" fillId="3" borderId="1" xfId="0" applyNumberFormat="1" applyFont="1" applyFill="1" applyBorder="1"/>
    <xf numFmtId="167" fontId="7" fillId="0" borderId="1" xfId="0" applyNumberFormat="1" applyFont="1" applyBorder="1"/>
    <xf numFmtId="167" fontId="7" fillId="3" borderId="1" xfId="0" applyNumberFormat="1" applyFont="1" applyFill="1" applyBorder="1"/>
    <xf numFmtId="170" fontId="8" fillId="0" borderId="1" xfId="0" applyNumberFormat="1" applyFont="1" applyBorder="1"/>
    <xf numFmtId="0" fontId="9" fillId="0" borderId="0" xfId="0" applyFont="1" applyAlignment="1">
      <alignment vertical="top" wrapText="1"/>
    </xf>
    <xf numFmtId="0" fontId="0" fillId="0" borderId="0" xfId="0"/>
    <xf numFmtId="0" fontId="8" fillId="0" borderId="0" xfId="0" applyFont="1" applyAlignment="1">
      <alignment vertical="top" wrapText="1"/>
    </xf>
    <xf numFmtId="0" fontId="5" fillId="3" borderId="0" xfId="0" applyFont="1" applyFill="1"/>
    <xf numFmtId="0" fontId="0" fillId="3" borderId="0" xfId="0" applyFill="1"/>
    <xf numFmtId="173" fontId="11" fillId="3" borderId="0" xfId="0" applyNumberFormat="1" applyFont="1" applyFill="1" applyAlignment="1">
      <alignment horizontal="left"/>
    </xf>
    <xf numFmtId="164" fontId="11" fillId="3" borderId="0" xfId="0" applyNumberFormat="1" applyFont="1" applyFill="1" applyAlignment="1">
      <alignment horizontal="left"/>
    </xf>
    <xf numFmtId="174" fontId="11" fillId="3" borderId="0" xfId="0" applyNumberFormat="1" applyFont="1" applyFill="1" applyAlignment="1">
      <alignment horizontal="left"/>
    </xf>
    <xf numFmtId="0" fontId="12" fillId="4" borderId="0" xfId="0" applyFont="1" applyFill="1" applyAlignment="1">
      <alignment vertical="center" wrapText="1"/>
    </xf>
  </cellXfs>
  <cellStyles count="1">
    <cellStyle name="Normalny" xfId="0" builtinId="0"/>
  </cellStyles>
  <dxfs count="44">
    <dxf>
      <font>
        <b/>
        <color rgb="FF8A5A00"/>
      </font>
      <fill>
        <patternFill patternType="solid">
          <bgColor rgb="FFFFF3DC"/>
        </patternFill>
      </fill>
    </dxf>
    <dxf>
      <font>
        <b/>
        <color rgb="FF8A5A00"/>
      </font>
      <fill>
        <patternFill patternType="solid">
          <bgColor rgb="FFFFF3DC"/>
        </patternFill>
      </fill>
    </dxf>
    <dxf>
      <font>
        <b/>
        <color rgb="FF1E7A4B"/>
      </font>
      <fill>
        <patternFill patternType="solid">
          <bgColor rgb="FFE6F4EC"/>
        </patternFill>
      </fill>
    </dxf>
    <dxf>
      <font>
        <b/>
        <color rgb="FF1E7A4B"/>
      </font>
      <fill>
        <patternFill patternType="solid">
          <bgColor rgb="FFE6F4EC"/>
        </patternFill>
      </fill>
    </dxf>
    <dxf>
      <font>
        <b/>
        <color rgb="FF1E7A4B"/>
      </font>
      <fill>
        <patternFill patternType="solid">
          <bgColor rgb="FFE6F4EC"/>
        </patternFill>
      </fill>
    </dxf>
    <dxf>
      <font>
        <b/>
        <color rgb="FF1E7A4B"/>
      </font>
      <fill>
        <patternFill patternType="solid">
          <bgColor rgb="FFE6F4EC"/>
        </patternFill>
      </fill>
    </dxf>
    <dxf>
      <font>
        <b/>
        <color rgb="FF8A5A00"/>
      </font>
      <fill>
        <patternFill patternType="solid">
          <bgColor rgb="FFFFF3DC"/>
        </patternFill>
      </fill>
    </dxf>
    <dxf>
      <font>
        <b/>
        <color rgb="FF8A5A00"/>
      </font>
      <fill>
        <patternFill patternType="solid">
          <bgColor rgb="FFFFF3DC"/>
        </patternFill>
      </fill>
    </dxf>
    <dxf>
      <font>
        <b/>
        <color rgb="FF1E7A4B"/>
      </font>
      <fill>
        <patternFill patternType="solid">
          <bgColor rgb="FFE6F4EC"/>
        </patternFill>
      </fill>
    </dxf>
    <dxf>
      <font>
        <b/>
        <color rgb="FF1E7A4B"/>
      </font>
      <fill>
        <patternFill patternType="solid">
          <bgColor rgb="FFE6F4EC"/>
        </patternFill>
      </fill>
    </dxf>
    <dxf>
      <font>
        <b/>
        <color rgb="FF1E7A4B"/>
      </font>
      <fill>
        <patternFill patternType="solid">
          <bgColor rgb="FFE6F4EC"/>
        </patternFill>
      </fill>
    </dxf>
    <dxf>
      <font>
        <b/>
        <color rgb="FF1E7A4B"/>
      </font>
      <fill>
        <patternFill patternType="solid">
          <bgColor rgb="FFE6F4EC"/>
        </patternFill>
      </fill>
    </dxf>
    <dxf>
      <font>
        <b/>
        <color rgb="FF8A5A00"/>
      </font>
      <fill>
        <patternFill patternType="solid">
          <bgColor rgb="FFFFF3DC"/>
        </patternFill>
      </fill>
    </dxf>
    <dxf>
      <font>
        <b/>
        <color rgb="FF1E7A4B"/>
      </font>
      <fill>
        <patternFill patternType="solid">
          <bgColor rgb="FFE6F4EC"/>
        </patternFill>
      </fill>
    </dxf>
    <dxf>
      <font>
        <b/>
        <color rgb="FF8A5A00"/>
      </font>
      <fill>
        <patternFill patternType="solid">
          <bgColor rgb="FFFFF3DC"/>
        </patternFill>
      </fill>
    </dxf>
    <dxf>
      <font>
        <b/>
        <color rgb="FF1E7A4B"/>
      </font>
      <fill>
        <patternFill patternType="solid">
          <bgColor rgb="FFE6F4EC"/>
        </patternFill>
      </fill>
    </dxf>
    <dxf>
      <font>
        <b/>
        <color rgb="FF8A5A00"/>
      </font>
      <fill>
        <patternFill patternType="solid">
          <bgColor rgb="FFFFF3DC"/>
        </patternFill>
      </fill>
    </dxf>
    <dxf>
      <font>
        <b/>
        <color rgb="FF8A5A00"/>
      </font>
      <fill>
        <patternFill patternType="solid">
          <bgColor rgb="FFFFF3DC"/>
        </patternFill>
      </fill>
    </dxf>
    <dxf>
      <font>
        <b/>
        <color rgb="FF1E7A4B"/>
      </font>
      <fill>
        <patternFill patternType="solid">
          <bgColor rgb="FFE6F4EC"/>
        </patternFill>
      </fill>
    </dxf>
    <dxf>
      <font>
        <b/>
        <color rgb="FF1E7A4B"/>
      </font>
      <fill>
        <patternFill patternType="solid">
          <bgColor rgb="FFE6F4EC"/>
        </patternFill>
      </fill>
    </dxf>
    <dxf>
      <font>
        <b/>
        <color rgb="FF1E7A4B"/>
      </font>
      <fill>
        <patternFill patternType="solid">
          <bgColor rgb="FFE6F4EC"/>
        </patternFill>
      </fill>
    </dxf>
    <dxf>
      <font>
        <b/>
        <color rgb="FF1E7A4B"/>
      </font>
      <fill>
        <patternFill patternType="solid">
          <bgColor rgb="FFE6F4EC"/>
        </patternFill>
      </fill>
    </dxf>
    <dxf>
      <font>
        <b/>
        <color rgb="FF8A5A00"/>
      </font>
      <fill>
        <patternFill patternType="solid">
          <bgColor rgb="FFFFF3DC"/>
        </patternFill>
      </fill>
    </dxf>
    <dxf>
      <font>
        <b/>
        <color rgb="FF1E7A4B"/>
      </font>
      <fill>
        <patternFill patternType="solid">
          <bgColor rgb="FFE6F4EC"/>
        </patternFill>
      </fill>
    </dxf>
    <dxf>
      <font>
        <b/>
        <color rgb="FF8A5A00"/>
      </font>
      <fill>
        <patternFill patternType="solid">
          <bgColor rgb="FFFFF3DC"/>
        </patternFill>
      </fill>
    </dxf>
    <dxf>
      <font>
        <b/>
        <color rgb="FF1E7A4B"/>
      </font>
      <fill>
        <patternFill patternType="solid">
          <bgColor rgb="FFE6F4EC"/>
        </patternFill>
      </fill>
    </dxf>
    <dxf>
      <font>
        <b/>
        <color rgb="FF8A5A00"/>
      </font>
      <fill>
        <patternFill patternType="solid">
          <bgColor rgb="FFFFF3DC"/>
        </patternFill>
      </fill>
    </dxf>
    <dxf>
      <font>
        <b/>
        <color rgb="FF1E7A4B"/>
      </font>
      <fill>
        <patternFill patternType="solid">
          <bgColor rgb="FFE6F4EC"/>
        </patternFill>
      </fill>
    </dxf>
    <dxf>
      <font>
        <b/>
        <color rgb="FF8A5A00"/>
      </font>
      <fill>
        <patternFill patternType="solid">
          <bgColor rgb="FFFFF3DC"/>
        </patternFill>
      </fill>
    </dxf>
    <dxf>
      <font>
        <b/>
        <color rgb="FF1E7A4B"/>
      </font>
      <fill>
        <patternFill patternType="solid">
          <bgColor rgb="FFE6F4EC"/>
        </patternFill>
      </fill>
    </dxf>
    <dxf>
      <font>
        <b/>
        <color rgb="FF8A5A00"/>
      </font>
      <fill>
        <patternFill patternType="solid">
          <bgColor rgb="FFFFF3DC"/>
        </patternFill>
      </fill>
    </dxf>
    <dxf>
      <font>
        <b/>
        <color rgb="FF8A5A00"/>
      </font>
      <fill>
        <patternFill patternType="solid">
          <bgColor rgb="FFFFF3DC"/>
        </patternFill>
      </fill>
    </dxf>
    <dxf>
      <font>
        <b/>
        <color rgb="FF1E7A4B"/>
      </font>
      <fill>
        <patternFill patternType="solid">
          <bgColor rgb="FFE6F4EC"/>
        </patternFill>
      </fill>
    </dxf>
    <dxf>
      <font>
        <b/>
        <color rgb="FF1E7A4B"/>
      </font>
      <fill>
        <patternFill patternType="solid">
          <bgColor rgb="FFE6F4EC"/>
        </patternFill>
      </fill>
    </dxf>
    <dxf>
      <font>
        <b/>
        <color rgb="FF1E7A4B"/>
      </font>
      <fill>
        <patternFill patternType="solid">
          <bgColor rgb="FFE6F4EC"/>
        </patternFill>
      </fill>
    </dxf>
    <dxf>
      <font>
        <b/>
        <color rgb="FF1E7A4B"/>
      </font>
      <fill>
        <patternFill patternType="solid">
          <bgColor rgb="FFE6F4EC"/>
        </patternFill>
      </fill>
    </dxf>
    <dxf>
      <font>
        <b/>
        <color rgb="FF8A5A00"/>
      </font>
      <fill>
        <patternFill patternType="solid">
          <bgColor rgb="FFFFF3DC"/>
        </patternFill>
      </fill>
    </dxf>
    <dxf>
      <font>
        <b/>
        <color rgb="FF1E7A4B"/>
      </font>
      <fill>
        <patternFill patternType="solid">
          <bgColor rgb="FFE6F4EC"/>
        </patternFill>
      </fill>
    </dxf>
    <dxf>
      <font>
        <b/>
        <color rgb="FF8A5A00"/>
      </font>
      <fill>
        <patternFill patternType="solid">
          <bgColor rgb="FFFFF3DC"/>
        </patternFill>
      </fill>
    </dxf>
    <dxf>
      <font>
        <b/>
        <color rgb="FF8A5A00"/>
      </font>
      <fill>
        <patternFill patternType="solid">
          <bgColor rgb="FFFFF3DC"/>
        </patternFill>
      </fill>
    </dxf>
    <dxf>
      <font>
        <b/>
        <color rgb="FF1E7A4B"/>
      </font>
      <fill>
        <patternFill patternType="solid">
          <bgColor rgb="FFE6F4EC"/>
        </patternFill>
      </fill>
    </dxf>
    <dxf>
      <font>
        <b/>
        <color rgb="FF1E7A4B"/>
      </font>
      <fill>
        <patternFill patternType="solid">
          <bgColor rgb="FFE6F4EC"/>
        </patternFill>
      </fill>
    </dxf>
    <dxf>
      <font>
        <b/>
        <color rgb="FF1E7A4B"/>
      </font>
      <fill>
        <patternFill patternType="solid">
          <bgColor rgb="FFE6F4EC"/>
        </patternFill>
      </fill>
    </dxf>
    <dxf>
      <font>
        <b/>
        <color rgb="FF1E7A4B"/>
      </font>
      <fill>
        <patternFill patternType="solid">
          <bgColor rgb="FFE6F4E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ummary_boxes" displayName="Summary_boxes" ref="B20:J32">
  <autoFilter ref="B20:J32" xr:uid="{00000000-0009-0000-0100-000001000000}"/>
  <tableColumns count="9">
    <tableColumn id="2" xr3:uid="{00000000-0010-0000-0000-000002000000}" name="Box"/>
    <tableColumn id="3" xr3:uid="{00000000-0010-0000-0000-000003000000}" name="Description"/>
    <tableColumn id="4" xr3:uid="{00000000-0010-0000-0000-000004000000}" name="From source"/>
    <tableColumn id="5" xr3:uid="{00000000-0010-0000-0000-000005000000}" name="Adjustment"/>
    <tableColumn id="6" xr3:uid="{00000000-0010-0000-0000-000006000000}" name="After review"/>
    <tableColumn id="7" xr3:uid="{00000000-0010-0000-0000-000007000000}" name="Your draft return"/>
    <tableColumn id="8" xr3:uid="{00000000-0010-0000-0000-000008000000}" name="Difference"/>
    <tableColumn id="9" xr3:uid="{00000000-0010-0000-0000-000009000000}" name="Feb 2026"/>
    <tableColumn id="10" xr3:uid="{00000000-0010-0000-0000-00000A000000}" name="Change vs Feb"/>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ummary_findings" displayName="Summary_findings" ref="B37:E40">
  <autoFilter ref="B37:E40" xr:uid="{00000000-0009-0000-0100-000002000000}"/>
  <tableColumns count="4">
    <tableColumn id="2" xr3:uid="{00000000-0010-0000-0100-000002000000}" name="ID"/>
    <tableColumn id="3" xr3:uid="{00000000-0010-0000-0100-000003000000}" name="Finding"/>
    <tableColumn id="4" xr3:uid="{00000000-0010-0000-0100-000004000000}" name="Where"/>
    <tableColumn id="5" xr3:uid="{00000000-0010-0000-0100-000005000000}" name="Status"/>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Findings" displayName="Findings" ref="B5:I8">
  <autoFilter ref="B5:I8" xr:uid="{00000000-0009-0000-0100-000003000000}"/>
  <tableColumns count="8">
    <tableColumn id="2" xr3:uid="{00000000-0010-0000-0200-000002000000}" name="Status"/>
    <tableColumn id="3" xr3:uid="{00000000-0010-0000-0200-000003000000}" name="ID"/>
    <tableColumn id="4" xr3:uid="{00000000-0010-0000-0200-000004000000}" name="Finding"/>
    <tableColumn id="5" xr3:uid="{00000000-0010-0000-0200-000005000000}" name="Document"/>
    <tableColumn id="6" xr3:uid="{00000000-0010-0000-0200-000006000000}" name="Impact"/>
    <tableColumn id="7" xr3:uid="{00000000-0010-0000-0200-000007000000}" name="Evidence"/>
    <tableColumn id="8" xr3:uid="{00000000-0010-0000-0200-000008000000}" name="Decision"/>
    <tableColumn id="9" xr3:uid="{00000000-0010-0000-0200-000009000000}" name="Who · when"/>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Controls" displayName="Controls" ref="B13:H32">
  <autoFilter ref="B13:H32" xr:uid="{00000000-0009-0000-0100-000004000000}"/>
  <tableColumns count="7">
    <tableColumn id="2" xr3:uid="{00000000-0010-0000-0300-000002000000}" name="Difference"/>
    <tableColumn id="3" xr3:uid="{00000000-0010-0000-0300-000003000000}" name="ID"/>
    <tableColumn id="4" xr3:uid="{00000000-0010-0000-0300-000004000000}" name="Control"/>
    <tableColumn id="5" xr3:uid="{00000000-0010-0000-0300-000005000000}" name="Observed"/>
    <tableColumn id="6" xr3:uid="{00000000-0010-0000-0300-000006000000}" name="Comparison"/>
    <tableColumn id="7" xr3:uid="{00000000-0010-0000-0300-000007000000}" name="Evidence / definition"/>
    <tableColumn id="8" xr3:uid="{00000000-0010-0000-0300-000008000000}" name="What it proves"/>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Cross_checks" displayName="Cross_checks" ref="B6:I16">
  <autoFilter ref="B6:I16" xr:uid="{00000000-0009-0000-0100-000005000000}"/>
  <tableColumns count="8">
    <tableColumn id="2" xr3:uid="{00000000-0010-0000-0400-000002000000}" name="Difference"/>
    <tableColumn id="3" xr3:uid="{00000000-0010-0000-0400-000003000000}" name="Tie-out"/>
    <tableColumn id="4" xr3:uid="{00000000-0010-0000-0400-000004000000}" name="Left source"/>
    <tableColumn id="5" xr3:uid="{00000000-0010-0000-0400-000005000000}" name="Left (SEK)"/>
    <tableColumn id="6" xr3:uid="{00000000-0010-0000-0400-000006000000}" name="Right source"/>
    <tableColumn id="7" xr3:uid="{00000000-0010-0000-0400-000007000000}" name="Right (SEK)"/>
    <tableColumn id="8" xr3:uid="{00000000-0010-0000-0400-000008000000}" name="What it means"/>
    <tableColumn id="9" xr3:uid="{00000000-0010-0000-0400-000009000000}" name="What it proves"/>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VAT_calculation" displayName="VAT_calculation" ref="B6:G18">
  <autoFilter ref="B6:G18" xr:uid="{00000000-0009-0000-0100-000006000000}"/>
  <tableColumns count="6">
    <tableColumn id="2" xr3:uid="{00000000-0010-0000-0500-000002000000}" name="Box"/>
    <tableColumn id="3" xr3:uid="{00000000-0010-0000-0500-000003000000}" name="Description"/>
    <tableColumn id="4" xr3:uid="{00000000-0010-0000-0500-000004000000}" name="From source"/>
    <tableColumn id="5" xr3:uid="{00000000-0010-0000-0500-000005000000}" name="Adjustment"/>
    <tableColumn id="6" xr3:uid="{00000000-0010-0000-0500-000006000000}" name="After review"/>
    <tableColumn id="7" xr3:uid="{00000000-0010-0000-0500-000007000000}" name="Basis"/>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VAT_comparison" displayName="VAT_comparison" ref="B21:F33">
  <autoFilter ref="B21:F33" xr:uid="{00000000-0009-0000-0100-000007000000}"/>
  <tableColumns count="5">
    <tableColumn id="2" xr3:uid="{00000000-0010-0000-0600-000002000000}" name="Box"/>
    <tableColumn id="3" xr3:uid="{00000000-0010-0000-0600-000003000000}" name="Description"/>
    <tableColumn id="4" xr3:uid="{00000000-0010-0000-0600-000004000000}" name="After review"/>
    <tableColumn id="5" xr3:uid="{00000000-0010-0000-0600-000005000000}" name="Your draft return"/>
    <tableColumn id="6" xr3:uid="{00000000-0010-0000-0600-000006000000}" name="Difference"/>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Momsdeklaration" displayName="Momsdeklaration" ref="B38:D50">
  <autoFilter ref="B38:D50" xr:uid="{00000000-0009-0000-0100-000008000000}"/>
  <tableColumns count="3">
    <tableColumn id="2" xr3:uid="{00000000-0010-0000-0700-000002000000}" name="Box"/>
    <tableColumn id="3" xr3:uid="{00000000-0010-0000-0700-000003000000}" name="Swedish VAT return line (SV · EN)"/>
    <tableColumn id="4" xr3:uid="{00000000-0010-0000-0700-000004000000}" name="SEK"/>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x_rules" displayName="Tax_rules" ref="B55:H63">
  <autoFilter ref="B55:H63" xr:uid="{00000000-0009-0000-0100-000009000000}"/>
  <tableColumns count="7">
    <tableColumn id="2" xr3:uid="{00000000-0010-0000-0800-000002000000}" name="Tax code"/>
    <tableColumn id="3" xr3:uid="{00000000-0010-0000-0800-000003000000}" name="Description"/>
    <tableColumn id="4" xr3:uid="{00000000-0010-0000-0800-000004000000}" name="Ledger"/>
    <tableColumn id="5" xr3:uid="{00000000-0010-0000-0800-000005000000}" name="Rate"/>
    <tableColumn id="6" xr3:uid="{00000000-0010-0000-0800-000006000000}" name="Reverse charge"/>
    <tableColumn id="7" xr3:uid="{00000000-0010-0000-0800-000007000000}" name="VAT boxes"/>
    <tableColumn id="8" xr3:uid="{00000000-0010-0000-0800-000008000000}" name="GL account"/>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x_summary" displayName="Tax_summary" ref="B65:G73">
  <autoFilter ref="B65:G73" xr:uid="{00000000-0009-0000-0100-00000A000000}"/>
  <tableColumns count="6">
    <tableColumn id="2" xr3:uid="{00000000-0010-0000-0900-000002000000}" name="Tax code"/>
    <tableColumn id="3" xr3:uid="{00000000-0010-0000-0900-000003000000}" name="Net base (SEK)"/>
    <tableColumn id="4" xr3:uid="{00000000-0010-0000-0900-000004000000}" name="VAT booked (SEK)"/>
    <tableColumn id="5" xr3:uid="{00000000-0010-0000-0900-000005000000}" name="RC output (SEK)"/>
    <tableColumn id="6" xr3:uid="{00000000-0010-0000-0900-000006000000}" name="Deductible VAT (SEK)"/>
    <tableColumn id="7" xr3:uid="{00000000-0010-0000-0900-000007000000}" name="Source lines"/>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rial_balance" displayName="Trial_balance" ref="B6:H23">
  <autoFilter ref="B6:H23" xr:uid="{00000000-0009-0000-0100-00000B000000}"/>
  <tableColumns count="7">
    <tableColumn id="2" xr3:uid="{00000000-0010-0000-0A00-000002000000}" name="Account"/>
    <tableColumn id="3" xr3:uid="{00000000-0010-0000-0A00-000003000000}" name="Name"/>
    <tableColumn id="4" xr3:uid="{00000000-0010-0000-0A00-000004000000}" name="Opening"/>
    <tableColumn id="5" xr3:uid="{00000000-0010-0000-0A00-000005000000}" name="Debit"/>
    <tableColumn id="6" xr3:uid="{00000000-0010-0000-0A00-000006000000}" name="Credit"/>
    <tableColumn id="7" xr3:uid="{00000000-0010-0000-0A00-000007000000}" name="Closing"/>
    <tableColumn id="8" xr3:uid="{00000000-0010-0000-0A00-000008000000}" name="Box"/>
  </tableColumns>
  <tableStyleInfo name="TableStyleLight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GL_controls" displayName="GL_controls" ref="B33:H45">
  <autoFilter ref="B33:H45" xr:uid="{00000000-0009-0000-0100-00000C000000}"/>
  <tableColumns count="7">
    <tableColumn id="2" xr3:uid="{00000000-0010-0000-0B00-000002000000}" name="Difference"/>
    <tableColumn id="3" xr3:uid="{00000000-0010-0000-0B00-000003000000}" name="Control"/>
    <tableColumn id="4" xr3:uid="{00000000-0010-0000-0B00-000004000000}" name="Ledger"/>
    <tableColumn id="5" xr3:uid="{00000000-0010-0000-0B00-000005000000}" name="Compared with"/>
    <tableColumn id="6" xr3:uid="{00000000-0010-0000-0B00-000006000000}" name="Finding"/>
    <tableColumn id="7" xr3:uid="{00000000-0010-0000-0B00-000007000000}" name="Note"/>
    <tableColumn id="8" xr3:uid="{00000000-0010-0000-0B00-000008000000}" name="What it proves"/>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GL_entry" displayName="GL_entry" ref="B50:E52">
  <autoFilter ref="B50:E52" xr:uid="{00000000-0009-0000-0100-00000D000000}"/>
  <tableColumns count="4">
    <tableColumn id="2" xr3:uid="{00000000-0010-0000-0C00-000002000000}" name="Debit"/>
    <tableColumn id="3" xr3:uid="{00000000-0010-0000-0C00-000003000000}" name="Credit"/>
    <tableColumn id="4" xr3:uid="{00000000-0010-0000-0C00-000004000000}" name="Amount (SEK)"/>
    <tableColumn id="5" xr3:uid="{00000000-0010-0000-0C00-000005000000}" name="Reason"/>
  </tableColumns>
  <tableStyleInfo name="TableStyleLight1"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Invoice_register" displayName="Invoice_register" ref="B6:Q45">
  <autoFilter ref="B6:Q45" xr:uid="{00000000-0009-0000-0100-00000E000000}"/>
  <tableColumns count="16">
    <tableColumn id="2" xr3:uid="{00000000-0010-0000-0D00-000002000000}" name="Invoice ID"/>
    <tableColumn id="3" xr3:uid="{00000000-0010-0000-0D00-000003000000}" name="Invoice date"/>
    <tableColumn id="4" xr3:uid="{00000000-0010-0000-0D00-000004000000}" name="Counterparty"/>
    <tableColumn id="5" xr3:uid="{00000000-0010-0000-0D00-000005000000}" name="Country"/>
    <tableColumn id="6" xr3:uid="{00000000-0010-0000-0D00-000006000000}" name="VAT ID"/>
    <tableColumn id="7" xr3:uid="{00000000-0010-0000-0D00-000007000000}" name="Document currency"/>
    <tableColumn id="8" xr3:uid="{00000000-0010-0000-0D00-000008000000}" name="FX rate"/>
    <tableColumn id="9" xr3:uid="{00000000-0010-0000-0D00-000009000000}" name="Net (doc)"/>
    <tableColumn id="10" xr3:uid="{00000000-0010-0000-0D00-00000A000000}" name="VAT (doc)"/>
    <tableColumn id="11" xr3:uid="{00000000-0010-0000-0D00-00000B000000}" name="Gross (doc)"/>
    <tableColumn id="12" xr3:uid="{00000000-0010-0000-0D00-00000C000000}" name="Net (SEK)"/>
    <tableColumn id="13" xr3:uid="{00000000-0010-0000-0D00-00000D000000}" name="VAT (SEK)"/>
    <tableColumn id="14" xr3:uid="{00000000-0010-0000-0D00-00000E000000}" name="Gross (SEK)"/>
    <tableColumn id="15" xr3:uid="{00000000-0010-0000-0D00-00000F000000}" name="RC output (SEK)"/>
    <tableColumn id="16" xr3:uid="{00000000-0010-0000-0D00-000010000000}" name="Deductible VAT (SEK)"/>
    <tableColumn id="17" xr3:uid="{00000000-0010-0000-0D00-000011000000}" name="Source"/>
  </tableColumns>
  <tableStyleInfo name="TableStyleLight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Source_lines" displayName="Source_lines" ref="B49:T114">
  <autoFilter ref="B49:T114" xr:uid="{00000000-0009-0000-0100-00000F000000}"/>
  <tableColumns count="19">
    <tableColumn id="2" xr3:uid="{00000000-0010-0000-0E00-000002000000}" name="VAT difference (doc)"/>
    <tableColumn id="3" xr3:uid="{00000000-0010-0000-0E00-000003000000}" name="Line ID"/>
    <tableColumn id="4" xr3:uid="{00000000-0010-0000-0E00-000004000000}" name="Invoice ID"/>
    <tableColumn id="5" xr3:uid="{00000000-0010-0000-0E00-000005000000}" name="Description"/>
    <tableColumn id="6" xr3:uid="{00000000-0010-0000-0E00-000006000000}" name="Tax code"/>
    <tableColumn id="7" xr3:uid="{00000000-0010-0000-0E00-000007000000}" name="Code rate"/>
    <tableColumn id="8" xr3:uid="{00000000-0010-0000-0E00-000008000000}" name="Net (doc)"/>
    <tableColumn id="9" xr3:uid="{00000000-0010-0000-0E00-000009000000}" name="VAT booked (doc)"/>
    <tableColumn id="10" xr3:uid="{00000000-0010-0000-0E00-00000A000000}" name="Expected VAT (doc)"/>
    <tableColumn id="11" xr3:uid="{00000000-0010-0000-0E00-00000B000000}" name="Effective rate"/>
    <tableColumn id="12" xr3:uid="{00000000-0010-0000-0E00-00000C000000}" name="Document currency"/>
    <tableColumn id="13" xr3:uid="{00000000-0010-0000-0E00-00000D000000}" name="FX rate"/>
    <tableColumn id="14" xr3:uid="{00000000-0010-0000-0E00-00000E000000}" name="Net (SEK)"/>
    <tableColumn id="15" xr3:uid="{00000000-0010-0000-0E00-00000F000000}" name="VAT (SEK)"/>
    <tableColumn id="16" xr3:uid="{00000000-0010-0000-0E00-000010000000}" name="RC output (SEK)"/>
    <tableColumn id="17" xr3:uid="{00000000-0010-0000-0E00-000011000000}" name="Deductible VAT (SEK)"/>
    <tableColumn id="18" xr3:uid="{00000000-0010-0000-0E00-000012000000}" name="GL account"/>
    <tableColumn id="19" xr3:uid="{00000000-0010-0000-0E00-000013000000}" name="Quantity"/>
    <tableColumn id="20" xr3:uid="{00000000-0010-0000-0E00-000014000000}" name="Unit price (doc)"/>
  </tableColumns>
  <tableStyleInfo name="TableStyleLight1"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FX_check" displayName="FX_check" ref="B120:L125">
  <autoFilter ref="B120:L125" xr:uid="{00000000-0009-0000-0100-000010000000}"/>
  <tableColumns count="11">
    <tableColumn id="2" xr3:uid="{00000000-0010-0000-0F00-000002000000}" name="Difference"/>
    <tableColumn id="3" xr3:uid="{00000000-0010-0000-0F00-000003000000}" name="Invoice"/>
    <tableColumn id="4" xr3:uid="{00000000-0010-0000-0F00-000004000000}" name="Invoice date"/>
    <tableColumn id="5" xr3:uid="{00000000-0010-0000-0F00-000005000000}" name="Currency"/>
    <tableColumn id="6" xr3:uid="{00000000-0010-0000-0F00-000006000000}" name="Net (doc)"/>
    <tableColumn id="7" xr3:uid="{00000000-0010-0000-0F00-000007000000}" name="Rate booked"/>
    <tableColumn id="8" xr3:uid="{00000000-0010-0000-0F00-000008000000}" name="Riksbank rate"/>
    <tableColumn id="9" xr3:uid="{00000000-0010-0000-0F00-000009000000}" name="Rate date"/>
    <tableColumn id="10" xr3:uid="{00000000-0010-0000-0F00-00000A000000}" name="Rate difference"/>
    <tableColumn id="11" xr3:uid="{00000000-0010-0000-0F00-00000B000000}" name="Net (SEK) booked"/>
    <tableColumn id="12" xr3:uid="{00000000-0010-0000-0F00-00000C000000}" name="At Riksbank rate"/>
  </tableColumns>
  <tableStyleInfo name="TableStyleLight1"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EU_sales" displayName="EU_sales" ref="B6:I15">
  <autoFilter ref="B6:I15" xr:uid="{00000000-0009-0000-0100-000011000000}"/>
  <tableColumns count="8">
    <tableColumn id="2" xr3:uid="{00000000-0010-0000-1000-000002000000}" name="VAT ID check"/>
    <tableColumn id="3" xr3:uid="{00000000-0010-0000-1000-000003000000}" name="Invoice ID"/>
    <tableColumn id="4" xr3:uid="{00000000-0010-0000-1000-000004000000}" name="Counterparty"/>
    <tableColumn id="5" xr3:uid="{00000000-0010-0000-1000-000005000000}" name="Country"/>
    <tableColumn id="6" xr3:uid="{00000000-0010-0000-1000-000006000000}" name="VAT ID"/>
    <tableColumn id="7" xr3:uid="{00000000-0010-0000-1000-000007000000}" name="Supply type"/>
    <tableColumn id="8" xr3:uid="{00000000-0010-0000-1000-000008000000}" name="Goods (SEK)"/>
    <tableColumn id="9" xr3:uid="{00000000-0010-0000-1000-000009000000}" name="Services (SEK)"/>
  </tableColumns>
  <tableStyleInfo name="TableStyleLight1"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EUSL_draft" displayName="EUSL_draft" ref="B19:E28">
  <autoFilter ref="B19:E28" xr:uid="{00000000-0009-0000-0100-000012000000}"/>
  <tableColumns count="4">
    <tableColumn id="2" xr3:uid="{00000000-0010-0000-1100-000002000000}" name="Customer VAT number"/>
    <tableColumn id="3" xr3:uid="{00000000-0010-0000-1100-000003000000}" name="Goods (SEK)"/>
    <tableColumn id="4" xr3:uid="{00000000-0010-0000-1100-000004000000}" name="Triangulation (SEK)"/>
    <tableColumn id="5" xr3:uid="{00000000-0010-0000-1100-000005000000}" name="Services (SEK)"/>
  </tableColumns>
  <tableStyleInfo name="TableStyleLight1"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Dispatch_detail" displayName="Dispatch_detail" ref="B13:K19">
  <autoFilter ref="B13:K19" xr:uid="{00000000-0009-0000-0100-000013000000}"/>
  <tableColumns count="10">
    <tableColumn id="2" xr3:uid="{00000000-0010-0000-1200-000002000000}" name="Invoice ID"/>
    <tableColumn id="3" xr3:uid="{00000000-0010-0000-1200-000003000000}" name="Destination"/>
    <tableColumn id="4" xr3:uid="{00000000-0010-0000-1200-000004000000}" name="Origin"/>
    <tableColumn id="5" xr3:uid="{00000000-0010-0000-1200-000005000000}" name="CN8"/>
    <tableColumn id="6" xr3:uid="{00000000-0010-0000-1200-000006000000}" name="Commodity"/>
    <tableColumn id="7" xr3:uid="{00000000-0010-0000-1200-000007000000}" name="Invoice value (SEK)"/>
    <tableColumn id="8" xr3:uid="{00000000-0010-0000-1200-000008000000}" name="Net mass kg"/>
    <tableColumn id="9" xr3:uid="{00000000-0010-0000-1200-000009000000}" name="Supplementary units"/>
    <tableColumn id="10" xr3:uid="{00000000-0010-0000-1200-00000A000000}" name="Nature of transaction"/>
    <tableColumn id="11" xr3:uid="{00000000-0010-0000-1200-00000B000000}" name="Partner VAT ID"/>
  </tableColumns>
  <tableStyleInfo name="TableStyleLight1"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Intrastat_draft" displayName="Intrastat_draft" ref="B23:I29">
  <autoFilter ref="B23:I29" xr:uid="{00000000-0009-0000-0100-000014000000}"/>
  <tableColumns count="8">
    <tableColumn id="2" xr3:uid="{00000000-0010-0000-1300-000002000000}" name="CN8"/>
    <tableColumn id="3" xr3:uid="{00000000-0010-0000-1300-000003000000}" name="Destination country"/>
    <tableColumn id="4" xr3:uid="{00000000-0010-0000-1300-000004000000}" name="Country of origin"/>
    <tableColumn id="5" xr3:uid="{00000000-0010-0000-1300-000005000000}" name="Nature of transaction"/>
    <tableColumn id="6" xr3:uid="{00000000-0010-0000-1300-000006000000}" name="Partner VAT ID"/>
    <tableColumn id="7" xr3:uid="{00000000-0010-0000-1300-000007000000}" name="Net mass kg"/>
    <tableColumn id="8" xr3:uid="{00000000-0010-0000-1300-000008000000}" name="Supplementary units"/>
    <tableColumn id="9" xr3:uid="{00000000-0010-0000-1300-000009000000}" name="Invoiced value (SEK)"/>
  </tableColumns>
  <tableStyleInfo name="TableStyleLight1"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Audit_events" displayName="Audit_events" ref="B5:H19">
  <autoFilter ref="B5:H19" xr:uid="{00000000-0009-0000-0100-000015000000}"/>
  <tableColumns count="7">
    <tableColumn id="2" xr3:uid="{00000000-0010-0000-1400-000002000000}" name="Event ID"/>
    <tableColumn id="3" xr3:uid="{00000000-0010-0000-1400-000003000000}" name="Timestamp (UTC)"/>
    <tableColumn id="4" xr3:uid="{00000000-0010-0000-1400-000004000000}" name="Actor"/>
    <tableColumn id="5" xr3:uid="{00000000-0010-0000-1400-000005000000}" name="Action"/>
    <tableColumn id="6" xr3:uid="{00000000-0010-0000-1400-000006000000}" name="Description"/>
    <tableColumn id="7" xr3:uid="{00000000-0010-0000-1400-000007000000}" name="Document / box"/>
    <tableColumn id="8" xr3:uid="{00000000-0010-0000-1400-000008000000}" name="Result"/>
  </tableColumns>
  <tableStyleInfo name="TableStyleLight1"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Approved_split" displayName="Approved_split" ref="B22:K24">
  <autoFilter ref="B22:K24" xr:uid="{00000000-0009-0000-0100-000016000000}"/>
  <tableColumns count="10">
    <tableColumn id="2" xr3:uid="{00000000-0010-0000-1500-000002000000}" name="ID"/>
    <tableColumn id="3" xr3:uid="{00000000-0010-0000-1500-000003000000}" name="Source line"/>
    <tableColumn id="4" xr3:uid="{00000000-0010-0000-1500-000004000000}" name="Split into"/>
    <tableColumn id="5" xr3:uid="{00000000-0010-0000-1500-000005000000}" name="Tax code"/>
    <tableColumn id="6" xr3:uid="{00000000-0010-0000-1500-000006000000}" name="Rate"/>
    <tableColumn id="7" xr3:uid="{00000000-0010-0000-1500-000007000000}" name="Net (SEK)"/>
    <tableColumn id="8" xr3:uid="{00000000-0010-0000-1500-000008000000}" name="VAT (SEK)"/>
    <tableColumn id="9" xr3:uid="{00000000-0010-0000-1500-000009000000}" name="Box"/>
    <tableColumn id="10" xr3:uid="{00000000-0010-0000-1500-00000A000000}" name="Approver"/>
    <tableColumn id="11" xr3:uid="{00000000-0010-0000-1500-00000B000000}" name="Statu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5" Type="http://schemas.openxmlformats.org/officeDocument/2006/relationships/table" Target="../tables/table10.xml"/><Relationship Id="rId4" Type="http://schemas.openxmlformats.org/officeDocument/2006/relationships/table" Target="../tables/table9.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table" Target="../tables/table1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s>
</file>

<file path=xl/worksheets/_rels/sheet7.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table" Target="../tables/table1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table" Target="../tables/table19.xml"/></Relationships>
</file>

<file path=xl/worksheets/_rels/sheet9.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67"/>
  <sheetViews>
    <sheetView showGridLines="0" tabSelected="1" workbookViewId="0">
      <pane xSplit="1" ySplit="2" topLeftCell="B3" activePane="bottomRight" state="frozen"/>
      <selection pane="topRight"/>
      <selection pane="bottomLeft"/>
      <selection pane="bottomRight"/>
    </sheetView>
  </sheetViews>
  <sheetFormatPr defaultRowHeight="14.4" x14ac:dyDescent="0.3"/>
  <cols>
    <col min="1" max="1" width="2" customWidth="1"/>
    <col min="2" max="2" width="22" customWidth="1"/>
    <col min="3" max="3" width="44" customWidth="1"/>
    <col min="4" max="4" width="16" customWidth="1"/>
    <col min="5" max="5" width="14" customWidth="1"/>
    <col min="6" max="6" width="16" customWidth="1"/>
    <col min="7" max="7" width="18" customWidth="1"/>
    <col min="8" max="8" width="24" customWidth="1"/>
    <col min="9" max="9" width="15" customWidth="1"/>
    <col min="10" max="10" width="14" customWidth="1"/>
  </cols>
  <sheetData>
    <row r="1" spans="2:10" x14ac:dyDescent="0.3">
      <c r="B1" s="1" t="s">
        <v>0</v>
      </c>
    </row>
    <row r="2" spans="2:10" ht="21" x14ac:dyDescent="0.4">
      <c r="B2" s="2" t="s">
        <v>1</v>
      </c>
    </row>
    <row r="3" spans="2:10" x14ac:dyDescent="0.3">
      <c r="B3" s="3" t="s">
        <v>2</v>
      </c>
    </row>
    <row r="5" spans="2:10" x14ac:dyDescent="0.3">
      <c r="B5" s="48" t="str">
        <f>"Your draft return and the reviewed calculation agree in "&amp;COUNTIF(H21:H32,0)&amp;" of 12 boxes"&amp;IF(E32=0,"; the review did not change VAT to pay","")&amp;". Findings: "&amp;COUNTIF($E$38:$E$40,"Resolved")&amp;" resolved, "&amp;COUNTIF($E$38:$E$40,"Open")&amp;" open with the client."</f>
        <v>Your draft return and the reviewed calculation agree in 12 of 12 boxes; the review did not change VAT to pay. Findings: 1 resolved, 2 open with the client.</v>
      </c>
      <c r="C5" s="41"/>
      <c r="D5" s="41"/>
      <c r="E5" s="41"/>
      <c r="F5" s="41"/>
      <c r="G5" s="41"/>
      <c r="H5" s="41"/>
      <c r="I5" s="41"/>
    </row>
    <row r="6" spans="2:10" x14ac:dyDescent="0.3">
      <c r="B6" s="41"/>
      <c r="C6" s="41"/>
      <c r="D6" s="41"/>
      <c r="E6" s="41"/>
      <c r="F6" s="41"/>
      <c r="G6" s="41"/>
      <c r="H6" s="41"/>
      <c r="I6" s="41"/>
    </row>
    <row r="8" spans="2:10" x14ac:dyDescent="0.3">
      <c r="B8" s="43" t="s">
        <v>3</v>
      </c>
      <c r="C8" s="44"/>
      <c r="D8" s="44"/>
      <c r="E8" s="43" t="s">
        <v>4</v>
      </c>
      <c r="F8" s="44"/>
      <c r="G8" s="44"/>
      <c r="H8" s="43" t="s">
        <v>5</v>
      </c>
      <c r="I8" s="44"/>
      <c r="J8" s="44"/>
    </row>
    <row r="9" spans="2:10" ht="28.05" customHeight="1" x14ac:dyDescent="0.45">
      <c r="B9" s="45">
        <f>F32</f>
        <v>264800</v>
      </c>
      <c r="C9" s="44"/>
      <c r="D9" s="44"/>
      <c r="E9" s="46">
        <v>46154</v>
      </c>
      <c r="F9" s="44"/>
      <c r="G9" s="44"/>
      <c r="H9" s="47">
        <f>COUNTIF($E$38:$E$40,"Open")</f>
        <v>2</v>
      </c>
      <c r="I9" s="44"/>
      <c r="J9" s="44"/>
    </row>
    <row r="10" spans="2:10" x14ac:dyDescent="0.3">
      <c r="B10" s="4" t="s">
        <v>6</v>
      </c>
    </row>
    <row r="11" spans="2:10" x14ac:dyDescent="0.3">
      <c r="B11" s="3" t="s">
        <v>7</v>
      </c>
      <c r="C11" s="5" t="s">
        <v>8</v>
      </c>
    </row>
    <row r="12" spans="2:10" x14ac:dyDescent="0.3">
      <c r="B12" s="3" t="s">
        <v>9</v>
      </c>
      <c r="C12" s="5" t="s">
        <v>10</v>
      </c>
    </row>
    <row r="13" spans="2:10" x14ac:dyDescent="0.3">
      <c r="B13" s="3" t="s">
        <v>11</v>
      </c>
      <c r="C13" s="5" t="s">
        <v>12</v>
      </c>
    </row>
    <row r="14" spans="2:10" x14ac:dyDescent="0.3">
      <c r="B14" s="3" t="s">
        <v>13</v>
      </c>
      <c r="C14" s="5" t="s">
        <v>14</v>
      </c>
    </row>
    <row r="15" spans="2:10" x14ac:dyDescent="0.3">
      <c r="B15" s="3" t="s">
        <v>15</v>
      </c>
      <c r="C15" s="5" t="s">
        <v>16</v>
      </c>
    </row>
    <row r="16" spans="2:10" x14ac:dyDescent="0.3">
      <c r="B16" s="3" t="s">
        <v>17</v>
      </c>
      <c r="C16" s="5" t="s">
        <v>18</v>
      </c>
    </row>
    <row r="17" spans="2:10" x14ac:dyDescent="0.3">
      <c r="B17" s="3" t="s">
        <v>19</v>
      </c>
      <c r="C17" s="5" t="s">
        <v>20</v>
      </c>
    </row>
    <row r="19" spans="2:10" x14ac:dyDescent="0.3">
      <c r="B19" s="6" t="s">
        <v>21</v>
      </c>
    </row>
    <row r="20" spans="2:10" x14ac:dyDescent="0.3">
      <c r="B20" s="7" t="s">
        <v>22</v>
      </c>
      <c r="C20" s="7" t="s">
        <v>23</v>
      </c>
      <c r="D20" s="7" t="s">
        <v>24</v>
      </c>
      <c r="E20" s="7" t="s">
        <v>25</v>
      </c>
      <c r="F20" s="7" t="s">
        <v>26</v>
      </c>
      <c r="G20" s="7" t="s">
        <v>27</v>
      </c>
      <c r="H20" s="7" t="s">
        <v>28</v>
      </c>
      <c r="I20" s="7" t="s">
        <v>29</v>
      </c>
      <c r="J20" s="7" t="s">
        <v>30</v>
      </c>
    </row>
    <row r="21" spans="2:10" x14ac:dyDescent="0.3">
      <c r="B21" s="8" t="s">
        <v>31</v>
      </c>
      <c r="C21" s="8" t="s">
        <v>32</v>
      </c>
      <c r="D21" s="9">
        <f>'03 VAT return'!$D$7</f>
        <v>1345000</v>
      </c>
      <c r="E21" s="9">
        <f>'03 VAT return'!$E$7</f>
        <v>0</v>
      </c>
      <c r="F21" s="9">
        <f>'03 VAT return'!$F$7</f>
        <v>1345000</v>
      </c>
      <c r="G21" s="9">
        <f>'03 VAT return'!$E$22</f>
        <v>1345000</v>
      </c>
      <c r="H21" s="10">
        <f t="shared" ref="H21:H32" si="0">ROUND(G21-F21,2)</f>
        <v>0</v>
      </c>
      <c r="I21" s="9">
        <v>1180000</v>
      </c>
      <c r="J21" s="11">
        <f t="shared" ref="J21:J32" si="1">IF(I21=0,IF(F21=0,"–","new"),F21/I21-1)</f>
        <v>0.13983050847457634</v>
      </c>
    </row>
    <row r="22" spans="2:10" x14ac:dyDescent="0.3">
      <c r="B22" s="12" t="s">
        <v>33</v>
      </c>
      <c r="C22" s="12" t="s">
        <v>34</v>
      </c>
      <c r="D22" s="13">
        <f>'03 VAT return'!$D$8</f>
        <v>328650</v>
      </c>
      <c r="E22" s="13">
        <f>'03 VAT return'!$E$8</f>
        <v>-2400</v>
      </c>
      <c r="F22" s="13">
        <f>'03 VAT return'!$F$8</f>
        <v>326250</v>
      </c>
      <c r="G22" s="13">
        <f>'03 VAT return'!$E$23</f>
        <v>326250</v>
      </c>
      <c r="H22" s="14">
        <f t="shared" si="0"/>
        <v>0</v>
      </c>
      <c r="I22" s="13">
        <v>295000</v>
      </c>
      <c r="J22" s="15">
        <f t="shared" si="1"/>
        <v>0.10593220338983045</v>
      </c>
    </row>
    <row r="23" spans="2:10" x14ac:dyDescent="0.3">
      <c r="B23" s="8" t="s">
        <v>35</v>
      </c>
      <c r="C23" s="8" t="s">
        <v>36</v>
      </c>
      <c r="D23" s="9">
        <f>'03 VAT return'!$D$9</f>
        <v>0</v>
      </c>
      <c r="E23" s="9">
        <f>'03 VAT return'!$E$9</f>
        <v>0</v>
      </c>
      <c r="F23" s="9">
        <f>'03 VAT return'!$F$9</f>
        <v>0</v>
      </c>
      <c r="G23" s="9">
        <f>'03 VAT return'!$E$24</f>
        <v>0</v>
      </c>
      <c r="H23" s="10">
        <f t="shared" si="0"/>
        <v>0</v>
      </c>
      <c r="I23" s="9">
        <v>0</v>
      </c>
      <c r="J23" s="11" t="str">
        <f t="shared" si="1"/>
        <v>–</v>
      </c>
    </row>
    <row r="24" spans="2:10" x14ac:dyDescent="0.3">
      <c r="B24" s="12" t="s">
        <v>37</v>
      </c>
      <c r="C24" s="12" t="s">
        <v>38</v>
      </c>
      <c r="D24" s="13">
        <f>'03 VAT return'!$D$10</f>
        <v>0</v>
      </c>
      <c r="E24" s="13">
        <f>'03 VAT return'!$E$10</f>
        <v>2400</v>
      </c>
      <c r="F24" s="13">
        <f>'03 VAT return'!$F$10</f>
        <v>2400</v>
      </c>
      <c r="G24" s="13">
        <f>'03 VAT return'!$E$25</f>
        <v>2400</v>
      </c>
      <c r="H24" s="14">
        <f t="shared" si="0"/>
        <v>0</v>
      </c>
      <c r="I24" s="13">
        <v>0</v>
      </c>
      <c r="J24" s="15" t="str">
        <f t="shared" si="1"/>
        <v>new</v>
      </c>
    </row>
    <row r="25" spans="2:10" x14ac:dyDescent="0.3">
      <c r="B25" s="8" t="s">
        <v>39</v>
      </c>
      <c r="C25" s="8" t="s">
        <v>40</v>
      </c>
      <c r="D25" s="9">
        <f>'03 VAT return'!$D$11</f>
        <v>9600</v>
      </c>
      <c r="E25" s="9">
        <f>'03 VAT return'!$E$11</f>
        <v>0</v>
      </c>
      <c r="F25" s="9">
        <f>'03 VAT return'!$F$11</f>
        <v>9600</v>
      </c>
      <c r="G25" s="9">
        <f>'03 VAT return'!$E$26</f>
        <v>9600</v>
      </c>
      <c r="H25" s="10">
        <f t="shared" si="0"/>
        <v>0</v>
      </c>
      <c r="I25" s="9">
        <v>8400</v>
      </c>
      <c r="J25" s="11">
        <f t="shared" si="1"/>
        <v>0.14285714285714279</v>
      </c>
    </row>
    <row r="26" spans="2:10" x14ac:dyDescent="0.3">
      <c r="B26" s="12" t="s">
        <v>41</v>
      </c>
      <c r="C26" s="12" t="s">
        <v>42</v>
      </c>
      <c r="D26" s="13">
        <f>'03 VAT return'!$D$12</f>
        <v>43200</v>
      </c>
      <c r="E26" s="13">
        <f>'03 VAT return'!$E$12</f>
        <v>0</v>
      </c>
      <c r="F26" s="13">
        <f>'03 VAT return'!$F$12</f>
        <v>43200</v>
      </c>
      <c r="G26" s="13">
        <f>'03 VAT return'!$E$27</f>
        <v>43200</v>
      </c>
      <c r="H26" s="14">
        <f t="shared" si="0"/>
        <v>0</v>
      </c>
      <c r="I26" s="13">
        <v>38000</v>
      </c>
      <c r="J26" s="15">
        <f t="shared" si="1"/>
        <v>0.13684210526315788</v>
      </c>
    </row>
    <row r="27" spans="2:10" x14ac:dyDescent="0.3">
      <c r="B27" s="8" t="s">
        <v>43</v>
      </c>
      <c r="C27" s="8" t="s">
        <v>44</v>
      </c>
      <c r="D27" s="9">
        <f>'03 VAT return'!$D$13</f>
        <v>20800</v>
      </c>
      <c r="E27" s="9">
        <f>'03 VAT return'!$E$13</f>
        <v>0</v>
      </c>
      <c r="F27" s="9">
        <f>'03 VAT return'!$F$13</f>
        <v>20800</v>
      </c>
      <c r="G27" s="9">
        <f>'03 VAT return'!$E$28</f>
        <v>20800</v>
      </c>
      <c r="H27" s="10">
        <f t="shared" si="0"/>
        <v>0</v>
      </c>
      <c r="I27" s="9">
        <v>18000</v>
      </c>
      <c r="J27" s="11">
        <f t="shared" si="1"/>
        <v>0.15555555555555545</v>
      </c>
    </row>
    <row r="28" spans="2:10" x14ac:dyDescent="0.3">
      <c r="B28" s="12" t="s">
        <v>45</v>
      </c>
      <c r="C28" s="12" t="s">
        <v>46</v>
      </c>
      <c r="D28" s="13">
        <f>'03 VAT return'!$D$14</f>
        <v>18400</v>
      </c>
      <c r="E28" s="13">
        <f>'03 VAT return'!$E$14</f>
        <v>0</v>
      </c>
      <c r="F28" s="13">
        <f>'03 VAT return'!$F$14</f>
        <v>18400</v>
      </c>
      <c r="G28" s="13">
        <f>'03 VAT return'!$E$29</f>
        <v>18400</v>
      </c>
      <c r="H28" s="14">
        <f t="shared" si="0"/>
        <v>0</v>
      </c>
      <c r="I28" s="13">
        <v>16100</v>
      </c>
      <c r="J28" s="15">
        <f t="shared" si="1"/>
        <v>0.14285714285714279</v>
      </c>
    </row>
    <row r="29" spans="2:10" x14ac:dyDescent="0.3">
      <c r="B29" s="8" t="s">
        <v>47</v>
      </c>
      <c r="C29" s="8" t="s">
        <v>48</v>
      </c>
      <c r="D29" s="9">
        <f>'03 VAT return'!$D$15</f>
        <v>1095000</v>
      </c>
      <c r="E29" s="9">
        <f>'03 VAT return'!$E$15</f>
        <v>0</v>
      </c>
      <c r="F29" s="9">
        <f>'03 VAT return'!$F$15</f>
        <v>1095000</v>
      </c>
      <c r="G29" s="9">
        <f>'03 VAT return'!$E$30</f>
        <v>1095000</v>
      </c>
      <c r="H29" s="10">
        <f t="shared" si="0"/>
        <v>0</v>
      </c>
      <c r="I29" s="9">
        <v>930000</v>
      </c>
      <c r="J29" s="11">
        <f t="shared" si="1"/>
        <v>0.17741935483870974</v>
      </c>
    </row>
    <row r="30" spans="2:10" x14ac:dyDescent="0.3">
      <c r="B30" s="12" t="s">
        <v>49</v>
      </c>
      <c r="C30" s="12" t="s">
        <v>50</v>
      </c>
      <c r="D30" s="13">
        <f>'03 VAT return'!$D$16</f>
        <v>55000</v>
      </c>
      <c r="E30" s="13">
        <f>'03 VAT return'!$E$16</f>
        <v>0</v>
      </c>
      <c r="F30" s="13">
        <f>'03 VAT return'!$F$16</f>
        <v>55000</v>
      </c>
      <c r="G30" s="13">
        <f>'03 VAT return'!$E$31</f>
        <v>55000</v>
      </c>
      <c r="H30" s="14">
        <f t="shared" si="0"/>
        <v>0</v>
      </c>
      <c r="I30" s="13">
        <v>47000</v>
      </c>
      <c r="J30" s="15">
        <f t="shared" si="1"/>
        <v>0.17021276595744683</v>
      </c>
    </row>
    <row r="31" spans="2:10" x14ac:dyDescent="0.3">
      <c r="B31" s="8" t="s">
        <v>51</v>
      </c>
      <c r="C31" s="8" t="s">
        <v>52</v>
      </c>
      <c r="D31" s="9">
        <f>'03 VAT return'!$D$17</f>
        <v>82250</v>
      </c>
      <c r="E31" s="9">
        <f>'03 VAT return'!$E$17</f>
        <v>0</v>
      </c>
      <c r="F31" s="9">
        <f>'03 VAT return'!$F$17</f>
        <v>82250</v>
      </c>
      <c r="G31" s="9">
        <f>'03 VAT return'!$E$32</f>
        <v>82250</v>
      </c>
      <c r="H31" s="10">
        <f t="shared" si="0"/>
        <v>0</v>
      </c>
      <c r="I31" s="9">
        <v>72300</v>
      </c>
      <c r="J31" s="11">
        <f t="shared" si="1"/>
        <v>0.13762102351313965</v>
      </c>
    </row>
    <row r="32" spans="2:10" x14ac:dyDescent="0.3">
      <c r="B32" s="12" t="s">
        <v>53</v>
      </c>
      <c r="C32" s="12" t="s">
        <v>54</v>
      </c>
      <c r="D32" s="13">
        <f>'03 VAT return'!$D$18</f>
        <v>264800</v>
      </c>
      <c r="E32" s="13">
        <f>'03 VAT return'!$E$18</f>
        <v>0</v>
      </c>
      <c r="F32" s="13">
        <f>'03 VAT return'!$F$18</f>
        <v>264800</v>
      </c>
      <c r="G32" s="13">
        <f>'03 VAT return'!$E$33</f>
        <v>264800</v>
      </c>
      <c r="H32" s="14">
        <f t="shared" si="0"/>
        <v>0</v>
      </c>
      <c r="I32" s="13">
        <v>238800</v>
      </c>
      <c r="J32" s="15">
        <f t="shared" si="1"/>
        <v>0.10887772194304857</v>
      </c>
    </row>
    <row r="34" spans="2:10" ht="28.05" customHeight="1" x14ac:dyDescent="0.3">
      <c r="B34" s="40" t="s">
        <v>55</v>
      </c>
      <c r="C34" s="41"/>
      <c r="D34" s="41"/>
      <c r="E34" s="41"/>
      <c r="F34" s="41"/>
      <c r="G34" s="41"/>
      <c r="H34" s="41"/>
      <c r="I34" s="41"/>
      <c r="J34" s="41"/>
    </row>
    <row r="36" spans="2:10" x14ac:dyDescent="0.3">
      <c r="B36" s="6" t="s">
        <v>56</v>
      </c>
    </row>
    <row r="37" spans="2:10" x14ac:dyDescent="0.3">
      <c r="B37" s="7" t="s">
        <v>57</v>
      </c>
      <c r="C37" s="7" t="s">
        <v>58</v>
      </c>
      <c r="D37" s="7" t="s">
        <v>59</v>
      </c>
      <c r="E37" s="7" t="s">
        <v>17</v>
      </c>
    </row>
    <row r="38" spans="2:10" x14ac:dyDescent="0.3">
      <c r="B38" s="16" t="s">
        <v>60</v>
      </c>
      <c r="C38" s="8" t="s">
        <v>61</v>
      </c>
      <c r="D38" s="8" t="s">
        <v>62</v>
      </c>
      <c r="E38" s="8" t="str">
        <f>'01 Findings'!B6</f>
        <v>Resolved</v>
      </c>
    </row>
    <row r="39" spans="2:10" x14ac:dyDescent="0.3">
      <c r="B39" s="17" t="s">
        <v>63</v>
      </c>
      <c r="C39" s="12" t="s">
        <v>64</v>
      </c>
      <c r="D39" s="12" t="s">
        <v>65</v>
      </c>
      <c r="E39" s="12" t="str">
        <f>'01 Findings'!B7</f>
        <v>Open</v>
      </c>
    </row>
    <row r="40" spans="2:10" x14ac:dyDescent="0.3">
      <c r="B40" s="16" t="s">
        <v>66</v>
      </c>
      <c r="C40" s="8" t="s">
        <v>67</v>
      </c>
      <c r="D40" s="8" t="s">
        <v>68</v>
      </c>
      <c r="E40" s="8" t="str">
        <f>'01 Findings'!B8</f>
        <v>Open</v>
      </c>
    </row>
    <row r="42" spans="2:10" ht="30" customHeight="1" x14ac:dyDescent="0.3">
      <c r="B42" s="42" t="str">
        <f>"41 checks: "&amp;(41-(SUMPRODUCT(--(ABS('01 Findings'!$B$14:$B$32)&gt;=0.01))+SUMPRODUCT(--(ABS('02 Checks'!$B$7:$B$16)&gt;=0.01))+SUMPRODUCT(--(ABS('04 GL reconciliation'!$B$34:$B$45)&gt;=0.01))))&amp;" show 0.00 difference, "&amp;(SUMPRODUCT(--(ABS('01 Findings'!$B$14:$B$32)&gt;=0.01))+SUMPRODUCT(--(ABS('02 Checks'!$B$7:$B$16)&gt;=0.01))+SUMPRODUCT(--(ABS('04 GL reconciliation'!$B$34:$B$45)&gt;=0.01)))&amp;" show a difference, explained by the open findings. "&amp;(COUNTIF('01 Findings'!$H$14:$H$32,"Independent source")+COUNTIF('02 Checks'!$I$7:$I$16,"Independent source")+COUNTIF('04 GL reconciliation'!$H$34:$H$45,"Independent source"))&amp;" of them compare with an independent source (ledger, your draft return, invoice, Riksbank); the rest check that the calculation is consistent."</f>
        <v>41 checks: 36 show 0.00 difference, 5 show a difference, explained by the open findings. 25 of them compare with an independent source (ledger, your draft return, invoice, Riksbank); the rest check that the calculation is consistent.</v>
      </c>
      <c r="C42" s="41"/>
      <c r="D42" s="41"/>
      <c r="E42" s="41"/>
      <c r="F42" s="41"/>
      <c r="G42" s="41"/>
      <c r="H42" s="41"/>
      <c r="I42" s="41"/>
      <c r="J42" s="41"/>
    </row>
    <row r="43" spans="2:10" ht="13.95" customHeight="1" x14ac:dyDescent="0.3">
      <c r="B43" s="40" t="s">
        <v>69</v>
      </c>
      <c r="C43" s="41"/>
      <c r="D43" s="41"/>
      <c r="E43" s="41"/>
      <c r="F43" s="41"/>
      <c r="G43" s="41"/>
      <c r="H43" s="41"/>
      <c r="I43" s="41"/>
      <c r="J43" s="41"/>
    </row>
    <row r="45" spans="2:10" x14ac:dyDescent="0.3">
      <c r="B45" s="6" t="s">
        <v>70</v>
      </c>
    </row>
    <row r="46" spans="2:10" x14ac:dyDescent="0.3">
      <c r="B46" s="7" t="s">
        <v>71</v>
      </c>
      <c r="C46" s="7" t="s">
        <v>72</v>
      </c>
      <c r="D46" s="7" t="s">
        <v>73</v>
      </c>
      <c r="E46" s="7" t="s">
        <v>74</v>
      </c>
    </row>
    <row r="47" spans="2:10" x14ac:dyDescent="0.3">
      <c r="B47" s="8" t="s">
        <v>75</v>
      </c>
      <c r="C47" s="8" t="s">
        <v>76</v>
      </c>
      <c r="D47" s="18">
        <v>46114</v>
      </c>
      <c r="E47" s="8" t="s">
        <v>77</v>
      </c>
    </row>
    <row r="48" spans="2:10" x14ac:dyDescent="0.3">
      <c r="B48" s="12" t="s">
        <v>78</v>
      </c>
      <c r="C48" s="12" t="s">
        <v>79</v>
      </c>
      <c r="D48" s="19">
        <v>46114</v>
      </c>
      <c r="E48" s="12" t="s">
        <v>77</v>
      </c>
    </row>
    <row r="49" spans="2:5" x14ac:dyDescent="0.3">
      <c r="B49" s="8" t="s">
        <v>80</v>
      </c>
      <c r="C49" s="8"/>
      <c r="D49" s="18"/>
      <c r="E49" s="8"/>
    </row>
    <row r="51" spans="2:5" x14ac:dyDescent="0.3">
      <c r="B51" s="6" t="s">
        <v>81</v>
      </c>
    </row>
    <row r="52" spans="2:5" x14ac:dyDescent="0.3">
      <c r="B52" s="5" t="s">
        <v>82</v>
      </c>
    </row>
    <row r="53" spans="2:5" x14ac:dyDescent="0.3">
      <c r="B53" s="5" t="s">
        <v>83</v>
      </c>
    </row>
    <row r="54" spans="2:5" x14ac:dyDescent="0.3">
      <c r="B54" s="5" t="s">
        <v>84</v>
      </c>
    </row>
    <row r="55" spans="2:5" x14ac:dyDescent="0.3">
      <c r="B55" s="5" t="s">
        <v>85</v>
      </c>
    </row>
    <row r="56" spans="2:5" x14ac:dyDescent="0.3">
      <c r="B56" s="5" t="s">
        <v>86</v>
      </c>
    </row>
    <row r="57" spans="2:5" x14ac:dyDescent="0.3">
      <c r="B57" s="5" t="s">
        <v>87</v>
      </c>
    </row>
    <row r="59" spans="2:5" x14ac:dyDescent="0.3">
      <c r="B59" s="6" t="s">
        <v>88</v>
      </c>
    </row>
    <row r="60" spans="2:5" x14ac:dyDescent="0.3">
      <c r="B60" s="20" t="s">
        <v>89</v>
      </c>
    </row>
    <row r="61" spans="2:5" x14ac:dyDescent="0.3">
      <c r="B61" s="20" t="s">
        <v>90</v>
      </c>
    </row>
    <row r="62" spans="2:5" x14ac:dyDescent="0.3">
      <c r="B62" s="20" t="s">
        <v>91</v>
      </c>
    </row>
    <row r="63" spans="2:5" x14ac:dyDescent="0.3">
      <c r="B63" s="20" t="s">
        <v>92</v>
      </c>
    </row>
    <row r="64" spans="2:5" x14ac:dyDescent="0.3">
      <c r="B64" s="20" t="s">
        <v>93</v>
      </c>
    </row>
    <row r="65" spans="2:2" x14ac:dyDescent="0.3">
      <c r="B65" s="20" t="s">
        <v>94</v>
      </c>
    </row>
    <row r="66" spans="2:2" x14ac:dyDescent="0.3">
      <c r="B66" s="20" t="s">
        <v>95</v>
      </c>
    </row>
    <row r="67" spans="2:2" x14ac:dyDescent="0.3">
      <c r="B67" s="20" t="s">
        <v>96</v>
      </c>
    </row>
  </sheetData>
  <mergeCells count="10">
    <mergeCell ref="B5:I6"/>
    <mergeCell ref="B43:J43"/>
    <mergeCell ref="B34:J34"/>
    <mergeCell ref="B42:J42"/>
    <mergeCell ref="B8:D8"/>
    <mergeCell ref="E8:G8"/>
    <mergeCell ref="H8:J8"/>
    <mergeCell ref="B9:D9"/>
    <mergeCell ref="E9:G9"/>
    <mergeCell ref="H9:J9"/>
  </mergeCells>
  <conditionalFormatting sqref="E38:E40">
    <cfRule type="cellIs" dxfId="43" priority="3" operator="equal">
      <formula>"Present"</formula>
    </cfRule>
    <cfRule type="cellIs" dxfId="42" priority="4" operator="equal">
      <formula>"Resolved"</formula>
    </cfRule>
    <cfRule type="cellIs" dxfId="41" priority="5" operator="equal">
      <formula>"Approved"</formula>
    </cfRule>
    <cfRule type="cellIs" dxfId="40" priority="6" operator="equal">
      <formula>"Paid"</formula>
    </cfRule>
    <cfRule type="cellIs" dxfId="39" priority="7" operator="equal">
      <formula>"Missing"</formula>
    </cfRule>
    <cfRule type="cellIs" dxfId="38" priority="8" operator="equal">
      <formula>"Open"</formula>
    </cfRule>
  </conditionalFormatting>
  <conditionalFormatting sqref="H21:H32">
    <cfRule type="expression" dxfId="37" priority="1">
      <formula>ABS(H21)&lt;0.01</formula>
    </cfRule>
    <cfRule type="expression" dxfId="36" priority="2">
      <formula>ABS(H21)&gt;=0.01</formula>
    </cfRule>
  </conditionalFormatting>
  <hyperlinks>
    <hyperlink ref="B38" location="'01 Findings'!B6" display="EX-001" xr:uid="{00000000-0004-0000-0000-000000000000}"/>
    <hyperlink ref="B39" location="'01 Findings'!B7" display="EX-002" xr:uid="{00000000-0004-0000-0000-000001000000}"/>
    <hyperlink ref="B40" location="'01 Findings'!B8" display="EX-003" xr:uid="{00000000-0004-0000-0000-000002000000}"/>
    <hyperlink ref="B60" location="'01 Findings'!B2" display="01 Findings" xr:uid="{00000000-0004-0000-0000-000003000000}"/>
    <hyperlink ref="B61" location="'02 Checks'!B2" display="02 Checks" xr:uid="{00000000-0004-0000-0000-000004000000}"/>
    <hyperlink ref="B62" location="'03 VAT return'!B2" display="03 VAT return" xr:uid="{00000000-0004-0000-0000-000005000000}"/>
    <hyperlink ref="B63" location="'04 GL reconciliation'!B2" display="04 GL reconciliation" xr:uid="{00000000-0004-0000-0000-000006000000}"/>
    <hyperlink ref="B64" location="'05 Invoices &amp; lines'!B2" display="05 Invoices &amp; lines" xr:uid="{00000000-0004-0000-0000-000007000000}"/>
    <hyperlink ref="B65" location="'06 EU sales list'!B2" display="06 EU sales list" xr:uid="{00000000-0004-0000-0000-000008000000}"/>
    <hyperlink ref="B66" location="'07 Intrastat'!B2" display="07 Intrastat" xr:uid="{00000000-0004-0000-0000-000009000000}"/>
    <hyperlink ref="B67" location="'08 Trail'!B2" display="08 Trail" xr:uid="{00000000-0004-0000-0000-00000A000000}"/>
  </hyperlinks>
  <pageMargins left="0.75" right="0.75" top="1" bottom="1" header="0.5" footer="0.5"/>
  <pageSetup fitToHeight="0" orientation="landscape"/>
  <headerFooter>
    <oddFooter>&amp;LVatli sample · v5 · built 2026-09-24&amp;R&amp;A · page &amp;P of &amp;N</oddFooter>
  </headerFooter>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34"/>
  <sheetViews>
    <sheetView showGridLines="0" workbookViewId="0">
      <pane xSplit="1" ySplit="4" topLeftCell="B5" activePane="bottomRight" state="frozen"/>
      <selection pane="topRight"/>
      <selection pane="bottomLeft"/>
      <selection pane="bottomRight"/>
    </sheetView>
  </sheetViews>
  <sheetFormatPr defaultRowHeight="14.4" x14ac:dyDescent="0.3"/>
  <cols>
    <col min="1" max="1" width="2" customWidth="1"/>
    <col min="2" max="2" width="24" customWidth="1"/>
    <col min="3" max="3" width="10" customWidth="1"/>
    <col min="4" max="4" width="38" customWidth="1"/>
    <col min="5" max="5" width="18" customWidth="1"/>
    <col min="6" max="6" width="30" customWidth="1"/>
    <col min="7" max="8" width="44" customWidth="1"/>
    <col min="9" max="9" width="24" customWidth="1"/>
  </cols>
  <sheetData>
    <row r="1" spans="2:10" x14ac:dyDescent="0.3">
      <c r="B1" s="1" t="s">
        <v>0</v>
      </c>
      <c r="J1" s="21" t="s">
        <v>97</v>
      </c>
    </row>
    <row r="2" spans="2:10" ht="21" x14ac:dyDescent="0.4">
      <c r="B2" s="2" t="s">
        <v>98</v>
      </c>
    </row>
    <row r="3" spans="2:10" x14ac:dyDescent="0.3">
      <c r="B3" s="3" t="s">
        <v>99</v>
      </c>
    </row>
    <row r="5" spans="2:10" x14ac:dyDescent="0.3">
      <c r="B5" s="7" t="s">
        <v>17</v>
      </c>
      <c r="C5" s="7" t="s">
        <v>57</v>
      </c>
      <c r="D5" s="7" t="s">
        <v>58</v>
      </c>
      <c r="E5" s="7" t="s">
        <v>100</v>
      </c>
      <c r="F5" s="7" t="s">
        <v>101</v>
      </c>
      <c r="G5" s="7" t="s">
        <v>102</v>
      </c>
      <c r="H5" s="7" t="s">
        <v>103</v>
      </c>
      <c r="I5" s="7" t="s">
        <v>104</v>
      </c>
    </row>
    <row r="6" spans="2:10" ht="27.6" x14ac:dyDescent="0.3">
      <c r="B6" s="8" t="s">
        <v>105</v>
      </c>
      <c r="C6" s="8" t="s">
        <v>60</v>
      </c>
      <c r="D6" s="22" t="s">
        <v>61</v>
      </c>
      <c r="E6" s="16" t="s">
        <v>62</v>
      </c>
      <c r="F6" s="22" t="s">
        <v>106</v>
      </c>
      <c r="G6" s="22" t="s">
        <v>107</v>
      </c>
      <c r="H6" s="22" t="s">
        <v>108</v>
      </c>
      <c r="I6" s="22" t="s">
        <v>109</v>
      </c>
    </row>
    <row r="7" spans="2:10" ht="27.6" x14ac:dyDescent="0.3">
      <c r="B7" s="12" t="s">
        <v>110</v>
      </c>
      <c r="C7" s="12" t="s">
        <v>63</v>
      </c>
      <c r="D7" s="23" t="s">
        <v>64</v>
      </c>
      <c r="E7" s="17" t="s">
        <v>65</v>
      </c>
      <c r="F7" s="23" t="s">
        <v>111</v>
      </c>
      <c r="G7" s="23" t="s">
        <v>112</v>
      </c>
      <c r="H7" s="23" t="s">
        <v>113</v>
      </c>
      <c r="I7" s="23" t="s">
        <v>109</v>
      </c>
    </row>
    <row r="8" spans="2:10" ht="41.4" x14ac:dyDescent="0.3">
      <c r="B8" s="8" t="s">
        <v>110</v>
      </c>
      <c r="C8" s="8" t="s">
        <v>66</v>
      </c>
      <c r="D8" s="22" t="s">
        <v>67</v>
      </c>
      <c r="E8" s="16" t="s">
        <v>68</v>
      </c>
      <c r="F8" s="22" t="s">
        <v>114</v>
      </c>
      <c r="G8" s="22" t="s">
        <v>115</v>
      </c>
      <c r="H8" s="22" t="s">
        <v>116</v>
      </c>
      <c r="I8" s="22" t="s">
        <v>109</v>
      </c>
    </row>
    <row r="10" spans="2:10" ht="13.95" customHeight="1" x14ac:dyDescent="0.3">
      <c r="B10" s="40" t="s">
        <v>117</v>
      </c>
      <c r="C10" s="41"/>
      <c r="D10" s="41"/>
      <c r="E10" s="41"/>
      <c r="F10" s="41"/>
      <c r="G10" s="41"/>
      <c r="H10" s="41"/>
      <c r="I10" s="41"/>
    </row>
    <row r="12" spans="2:10" x14ac:dyDescent="0.3">
      <c r="B12" s="6" t="s">
        <v>118</v>
      </c>
    </row>
    <row r="13" spans="2:10" x14ac:dyDescent="0.3">
      <c r="B13" s="7" t="s">
        <v>28</v>
      </c>
      <c r="C13" s="7" t="s">
        <v>57</v>
      </c>
      <c r="D13" s="7" t="s">
        <v>119</v>
      </c>
      <c r="E13" s="7" t="s">
        <v>120</v>
      </c>
      <c r="F13" s="7" t="s">
        <v>121</v>
      </c>
      <c r="G13" s="7" t="s">
        <v>122</v>
      </c>
      <c r="H13" s="7" t="s">
        <v>123</v>
      </c>
    </row>
    <row r="14" spans="2:10" ht="27.6" x14ac:dyDescent="0.3">
      <c r="B14" s="10">
        <f t="shared" ref="B14:B32" si="0">ROUND(E14-F14,2)</f>
        <v>0</v>
      </c>
      <c r="C14" s="8" t="s">
        <v>124</v>
      </c>
      <c r="D14" s="22" t="s">
        <v>125</v>
      </c>
      <c r="E14" s="9">
        <f>'03 VAT return'!$F$18</f>
        <v>264800</v>
      </c>
      <c r="F14" s="9">
        <f>SUMIFS('05 Invoices &amp; lines'!$O$50:$O$114,'05 Invoices &amp; lines'!$C$50:$C$114,"AR*")+SUM('05 Invoices &amp; lines'!$P$50:$P$114)-SUM('05 Invoices &amp; lines'!$Q$50:$Q$114)+'03 VAT return'!$E$8+'03 VAT return'!$E$10</f>
        <v>264800</v>
      </c>
      <c r="G14" s="22" t="s">
        <v>126</v>
      </c>
      <c r="H14" s="8" t="s">
        <v>127</v>
      </c>
    </row>
    <row r="15" spans="2:10" ht="27.6" x14ac:dyDescent="0.3">
      <c r="B15" s="24">
        <f t="shared" si="0"/>
        <v>0</v>
      </c>
      <c r="C15" s="12" t="s">
        <v>128</v>
      </c>
      <c r="D15" s="23" t="s">
        <v>129</v>
      </c>
      <c r="E15" s="25">
        <f>SUMPRODUCT((ABS('05 Invoices &amp; lines'!$B$50:$B$114)&gt;=0.01)*(COUNTIF('08 Trail'!$C$23:$C$24,'05 Invoices &amp; lines'!$C$50:$C$114)=0))</f>
        <v>0</v>
      </c>
      <c r="F15" s="25">
        <v>0</v>
      </c>
      <c r="G15" s="23" t="s">
        <v>130</v>
      </c>
      <c r="H15" s="12" t="s">
        <v>127</v>
      </c>
    </row>
    <row r="16" spans="2:10" ht="27.6" x14ac:dyDescent="0.3">
      <c r="B16" s="10">
        <f t="shared" si="0"/>
        <v>0</v>
      </c>
      <c r="C16" s="8" t="s">
        <v>131</v>
      </c>
      <c r="D16" s="22" t="s">
        <v>132</v>
      </c>
      <c r="E16" s="9">
        <f>'03 VAT return'!$F$7</f>
        <v>1345000</v>
      </c>
      <c r="F16" s="9">
        <f>'03 VAT return'!$E$22</f>
        <v>1345000</v>
      </c>
      <c r="G16" s="22" t="s">
        <v>133</v>
      </c>
      <c r="H16" s="8" t="s">
        <v>134</v>
      </c>
    </row>
    <row r="17" spans="2:8" ht="27.6" x14ac:dyDescent="0.3">
      <c r="B17" s="14">
        <f t="shared" si="0"/>
        <v>0</v>
      </c>
      <c r="C17" s="12" t="s">
        <v>135</v>
      </c>
      <c r="D17" s="23" t="s">
        <v>136</v>
      </c>
      <c r="E17" s="13">
        <f>'03 VAT return'!$F$8</f>
        <v>326250</v>
      </c>
      <c r="F17" s="13">
        <f>'03 VAT return'!$E$23</f>
        <v>326250</v>
      </c>
      <c r="G17" s="23" t="s">
        <v>133</v>
      </c>
      <c r="H17" s="12" t="s">
        <v>134</v>
      </c>
    </row>
    <row r="18" spans="2:8" ht="27.6" x14ac:dyDescent="0.3">
      <c r="B18" s="10">
        <f t="shared" si="0"/>
        <v>0</v>
      </c>
      <c r="C18" s="8" t="s">
        <v>137</v>
      </c>
      <c r="D18" s="22" t="s">
        <v>138</v>
      </c>
      <c r="E18" s="9">
        <f>'03 VAT return'!$F$10</f>
        <v>2400</v>
      </c>
      <c r="F18" s="9">
        <f>'03 VAT return'!$E$25</f>
        <v>2400</v>
      </c>
      <c r="G18" s="22" t="s">
        <v>133</v>
      </c>
      <c r="H18" s="8" t="s">
        <v>134</v>
      </c>
    </row>
    <row r="19" spans="2:8" ht="27.6" x14ac:dyDescent="0.3">
      <c r="B19" s="14">
        <f t="shared" si="0"/>
        <v>0</v>
      </c>
      <c r="C19" s="12" t="s">
        <v>139</v>
      </c>
      <c r="D19" s="23" t="s">
        <v>140</v>
      </c>
      <c r="E19" s="13">
        <f>'03 VAT return'!$F$14</f>
        <v>18400</v>
      </c>
      <c r="F19" s="13">
        <f>'03 VAT return'!$E$29</f>
        <v>18400</v>
      </c>
      <c r="G19" s="23" t="s">
        <v>133</v>
      </c>
      <c r="H19" s="12" t="s">
        <v>134</v>
      </c>
    </row>
    <row r="20" spans="2:8" ht="27.6" x14ac:dyDescent="0.3">
      <c r="B20" s="10">
        <f t="shared" si="0"/>
        <v>0</v>
      </c>
      <c r="C20" s="8" t="s">
        <v>141</v>
      </c>
      <c r="D20" s="22" t="s">
        <v>142</v>
      </c>
      <c r="E20" s="9">
        <f>'03 VAT return'!$F$17</f>
        <v>82250</v>
      </c>
      <c r="F20" s="9">
        <f>'03 VAT return'!$E$32</f>
        <v>82250</v>
      </c>
      <c r="G20" s="22" t="s">
        <v>133</v>
      </c>
      <c r="H20" s="8" t="s">
        <v>134</v>
      </c>
    </row>
    <row r="21" spans="2:8" ht="27.6" x14ac:dyDescent="0.3">
      <c r="B21" s="14">
        <f t="shared" si="0"/>
        <v>0</v>
      </c>
      <c r="C21" s="12" t="s">
        <v>143</v>
      </c>
      <c r="D21" s="23" t="s">
        <v>144</v>
      </c>
      <c r="E21" s="13">
        <f>'03 VAT return'!$F$18</f>
        <v>264800</v>
      </c>
      <c r="F21" s="13">
        <f>'03 VAT return'!$E$33</f>
        <v>264800</v>
      </c>
      <c r="G21" s="23" t="s">
        <v>133</v>
      </c>
      <c r="H21" s="12" t="s">
        <v>134</v>
      </c>
    </row>
    <row r="22" spans="2:8" x14ac:dyDescent="0.3">
      <c r="B22" s="10">
        <f t="shared" si="0"/>
        <v>0</v>
      </c>
      <c r="C22" s="8" t="s">
        <v>145</v>
      </c>
      <c r="D22" s="22" t="s">
        <v>146</v>
      </c>
      <c r="E22" s="9">
        <f>'03 VAT return'!$F$14</f>
        <v>18400</v>
      </c>
      <c r="F22" s="9">
        <f>SUMIFS('05 Invoices &amp; lines'!$Q$50:$Q$114,'05 Invoices &amp; lines'!$P$50:$P$114,"&lt;&gt;0")</f>
        <v>18400</v>
      </c>
      <c r="G22" s="22" t="s">
        <v>147</v>
      </c>
      <c r="H22" s="8" t="s">
        <v>127</v>
      </c>
    </row>
    <row r="23" spans="2:8" x14ac:dyDescent="0.3">
      <c r="B23" s="14">
        <f t="shared" si="0"/>
        <v>0</v>
      </c>
      <c r="C23" s="12" t="s">
        <v>148</v>
      </c>
      <c r="D23" s="23" t="s">
        <v>149</v>
      </c>
      <c r="E23" s="13">
        <f>'06 EU sales list'!H16</f>
        <v>1095000</v>
      </c>
      <c r="F23" s="13">
        <f>'03 VAT return'!$F$15</f>
        <v>1095000</v>
      </c>
      <c r="G23" s="23" t="s">
        <v>150</v>
      </c>
      <c r="H23" s="12" t="s">
        <v>127</v>
      </c>
    </row>
    <row r="24" spans="2:8" x14ac:dyDescent="0.3">
      <c r="B24" s="10">
        <f t="shared" si="0"/>
        <v>0</v>
      </c>
      <c r="C24" s="8" t="s">
        <v>151</v>
      </c>
      <c r="D24" s="22" t="s">
        <v>152</v>
      </c>
      <c r="E24" s="9">
        <f>'06 EU sales list'!I16</f>
        <v>55000</v>
      </c>
      <c r="F24" s="9">
        <f>'03 VAT return'!$F$16</f>
        <v>55000</v>
      </c>
      <c r="G24" s="22" t="s">
        <v>153</v>
      </c>
      <c r="H24" s="8" t="s">
        <v>127</v>
      </c>
    </row>
    <row r="25" spans="2:8" x14ac:dyDescent="0.3">
      <c r="B25" s="14">
        <f t="shared" si="0"/>
        <v>0</v>
      </c>
      <c r="C25" s="12" t="s">
        <v>154</v>
      </c>
      <c r="D25" s="23" t="s">
        <v>155</v>
      </c>
      <c r="E25" s="13">
        <f>'07 Intrastat'!G20</f>
        <v>1095000</v>
      </c>
      <c r="F25" s="13">
        <f>'06 EU sales list'!H16</f>
        <v>1095000</v>
      </c>
      <c r="G25" s="23" t="s">
        <v>156</v>
      </c>
      <c r="H25" s="12" t="s">
        <v>127</v>
      </c>
    </row>
    <row r="26" spans="2:8" ht="27.6" x14ac:dyDescent="0.3">
      <c r="B26" s="26">
        <f t="shared" si="0"/>
        <v>0</v>
      </c>
      <c r="C26" s="8" t="s">
        <v>157</v>
      </c>
      <c r="D26" s="22" t="s">
        <v>158</v>
      </c>
      <c r="E26" s="27">
        <f>COUNTIF('06 EU sales list'!$B$7:$B$15,"&lt;&gt;Present")</f>
        <v>0</v>
      </c>
      <c r="F26" s="27">
        <v>0</v>
      </c>
      <c r="G26" s="22" t="s">
        <v>159</v>
      </c>
      <c r="H26" s="8" t="s">
        <v>127</v>
      </c>
    </row>
    <row r="27" spans="2:8" ht="27.6" x14ac:dyDescent="0.3">
      <c r="B27" s="14">
        <f t="shared" si="0"/>
        <v>0</v>
      </c>
      <c r="C27" s="12" t="s">
        <v>160</v>
      </c>
      <c r="D27" s="23" t="s">
        <v>161</v>
      </c>
      <c r="E27" s="13">
        <f>ABS(SUM('08 Trail'!$G$23:$G$24)-'05 Invoices &amp; lines'!N83)+ABS(SUM('08 Trail'!$H$23:$H$24)-'05 Invoices &amp; lines'!O83)+SUMPRODUCT(ABS('08 Trail'!$H$23:$H$24-ROUND('08 Trail'!$G$23:$G$24*'08 Trail'!$F$23:$F$24,2)))</f>
        <v>0</v>
      </c>
      <c r="F27" s="13">
        <v>0</v>
      </c>
      <c r="G27" s="23" t="s">
        <v>162</v>
      </c>
      <c r="H27" s="12" t="s">
        <v>134</v>
      </c>
    </row>
    <row r="28" spans="2:8" ht="27.6" x14ac:dyDescent="0.3">
      <c r="B28" s="10">
        <f t="shared" si="0"/>
        <v>0</v>
      </c>
      <c r="C28" s="8" t="s">
        <v>163</v>
      </c>
      <c r="D28" s="22" t="s">
        <v>164</v>
      </c>
      <c r="E28" s="9">
        <f>SUMPRODUCT(ABS('05 Invoices &amp; lines'!$L$7:$L$45-SUMIFS('05 Invoices &amp; lines'!$N$50:$N$114,'05 Invoices &amp; lines'!$D$50:$D$114,'05 Invoices &amp; lines'!$B$7:$B$45)))+SUMPRODUCT(ABS('05 Invoices &amp; lines'!$M$7:$M$45-SUMIFS('05 Invoices &amp; lines'!$O$50:$O$114,'05 Invoices &amp; lines'!$D$50:$D$114,'05 Invoices &amp; lines'!$B$7:$B$45)))</f>
        <v>0</v>
      </c>
      <c r="F28" s="9">
        <v>0</v>
      </c>
      <c r="G28" s="22" t="s">
        <v>165</v>
      </c>
      <c r="H28" s="8" t="s">
        <v>127</v>
      </c>
    </row>
    <row r="29" spans="2:8" ht="27.6" x14ac:dyDescent="0.3">
      <c r="B29" s="14">
        <f t="shared" si="0"/>
        <v>0</v>
      </c>
      <c r="C29" s="12" t="s">
        <v>166</v>
      </c>
      <c r="D29" s="23" t="s">
        <v>167</v>
      </c>
      <c r="E29" s="13">
        <f>SUMPRODUCT(ABS('05 Invoices &amp; lines'!$N$50:$N$114-ROUND('05 Invoices &amp; lines'!$H$50:$H$114*'05 Invoices &amp; lines'!$M$50:$M$114,2)))+SUMPRODUCT(ABS('05 Invoices &amp; lines'!$O$50:$O$114-ROUND('05 Invoices &amp; lines'!$I$50:$I$114*'05 Invoices &amp; lines'!$M$50:$M$114,2)))</f>
        <v>0</v>
      </c>
      <c r="F29" s="13">
        <v>0</v>
      </c>
      <c r="G29" s="23" t="s">
        <v>168</v>
      </c>
      <c r="H29" s="12" t="s">
        <v>127</v>
      </c>
    </row>
    <row r="30" spans="2:8" ht="27.6" x14ac:dyDescent="0.3">
      <c r="B30" s="10">
        <f t="shared" si="0"/>
        <v>2137.08</v>
      </c>
      <c r="C30" s="8" t="s">
        <v>169</v>
      </c>
      <c r="D30" s="22" t="s">
        <v>170</v>
      </c>
      <c r="E30" s="9">
        <f>'05 Invoices &amp; lines'!K125</f>
        <v>20800</v>
      </c>
      <c r="F30" s="9">
        <f>'05 Invoices &amp; lines'!L125</f>
        <v>18662.919999999998</v>
      </c>
      <c r="G30" s="22" t="s">
        <v>171</v>
      </c>
      <c r="H30" s="8" t="s">
        <v>134</v>
      </c>
    </row>
    <row r="31" spans="2:8" ht="27.6" x14ac:dyDescent="0.3">
      <c r="B31" s="14">
        <f t="shared" si="0"/>
        <v>0</v>
      </c>
      <c r="C31" s="12" t="s">
        <v>172</v>
      </c>
      <c r="D31" s="23" t="s">
        <v>173</v>
      </c>
      <c r="E31" s="13">
        <f>'03 VAT return'!$F$7</f>
        <v>1345000</v>
      </c>
      <c r="F31" s="13">
        <f>'03 VAT return'!$F$8/0.25+'03 VAT return'!$F$9/0.12+'03 VAT return'!$F$10/0.06</f>
        <v>1345000</v>
      </c>
      <c r="G31" s="23" t="s">
        <v>174</v>
      </c>
      <c r="H31" s="12" t="s">
        <v>127</v>
      </c>
    </row>
    <row r="32" spans="2:8" ht="27.6" x14ac:dyDescent="0.3">
      <c r="B32" s="10">
        <f t="shared" si="0"/>
        <v>0</v>
      </c>
      <c r="C32" s="8" t="s">
        <v>175</v>
      </c>
      <c r="D32" s="22" t="s">
        <v>176</v>
      </c>
      <c r="E32" s="9">
        <f>'03 VAT return'!$F$14</f>
        <v>18400</v>
      </c>
      <c r="F32" s="9">
        <f>ROUND(('03 VAT return'!$F$11+'03 VAT return'!$F$12+'03 VAT return'!$F$13)*0.25,2)</f>
        <v>18400</v>
      </c>
      <c r="G32" s="22" t="s">
        <v>177</v>
      </c>
      <c r="H32" s="8" t="s">
        <v>127</v>
      </c>
    </row>
    <row r="34" spans="2:9" ht="28.05" customHeight="1" x14ac:dyDescent="0.3">
      <c r="B34" s="40" t="s">
        <v>178</v>
      </c>
      <c r="C34" s="41"/>
      <c r="D34" s="41"/>
      <c r="E34" s="41"/>
      <c r="F34" s="41"/>
      <c r="G34" s="41"/>
      <c r="H34" s="41"/>
      <c r="I34" s="41"/>
    </row>
  </sheetData>
  <mergeCells count="2">
    <mergeCell ref="B34:I34"/>
    <mergeCell ref="B10:I10"/>
  </mergeCells>
  <conditionalFormatting sqref="B6:B8">
    <cfRule type="cellIs" dxfId="35" priority="1" operator="equal">
      <formula>"Present"</formula>
    </cfRule>
    <cfRule type="cellIs" dxfId="34" priority="2" operator="equal">
      <formula>"Resolved"</formula>
    </cfRule>
    <cfRule type="cellIs" dxfId="33" priority="3" operator="equal">
      <formula>"Approved"</formula>
    </cfRule>
    <cfRule type="cellIs" dxfId="32" priority="4" operator="equal">
      <formula>"Paid"</formula>
    </cfRule>
    <cfRule type="cellIs" dxfId="31" priority="5" operator="equal">
      <formula>"Missing"</formula>
    </cfRule>
    <cfRule type="cellIs" dxfId="30" priority="6" operator="equal">
      <formula>"Open"</formula>
    </cfRule>
  </conditionalFormatting>
  <conditionalFormatting sqref="B14:B32">
    <cfRule type="expression" dxfId="29" priority="7">
      <formula>ABS(B14)&lt;0.01</formula>
    </cfRule>
    <cfRule type="expression" dxfId="28" priority="8">
      <formula>ABS(B14)&gt;=0.01</formula>
    </cfRule>
  </conditionalFormatting>
  <hyperlinks>
    <hyperlink ref="J1" location="'00 Summary'!B2" display="← Summary" xr:uid="{00000000-0004-0000-0100-000000000000}"/>
    <hyperlink ref="E6" location="'05 Invoices &amp; lines'!B28" display="AR-2026-022" xr:uid="{00000000-0004-0000-0100-000001000000}"/>
    <hyperlink ref="E7" location="'04 GL reconciliation'!B7" display="GL 3000 / 2611" xr:uid="{00000000-0004-0000-0100-000002000000}"/>
    <hyperlink ref="E8" location="'05 Invoices &amp; lines'!B125" display="AP-2026-016" xr:uid="{00000000-0004-0000-0100-000003000000}"/>
  </hyperlinks>
  <pageMargins left="0.75" right="0.75" top="1" bottom="1" header="0.5" footer="0.5"/>
  <pageSetup fitToHeight="0" orientation="landscape"/>
  <headerFooter>
    <oddFooter>&amp;LVatli sample · v5 · built 2026-09-24&amp;R&amp;A · page &amp;P of &amp;N</oddFooter>
  </headerFooter>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24"/>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2" customWidth="1"/>
    <col min="2" max="2" width="24" customWidth="1"/>
    <col min="3" max="3" width="36" customWidth="1"/>
    <col min="4" max="4" width="26" customWidth="1"/>
    <col min="5" max="5" width="17" customWidth="1"/>
    <col min="6" max="6" width="26" customWidth="1"/>
    <col min="7" max="7" width="17" customWidth="1"/>
    <col min="8" max="8" width="50" customWidth="1"/>
    <col min="9" max="9" width="20" customWidth="1"/>
  </cols>
  <sheetData>
    <row r="1" spans="2:10" x14ac:dyDescent="0.3">
      <c r="B1" s="1" t="s">
        <v>0</v>
      </c>
      <c r="J1" s="21" t="s">
        <v>97</v>
      </c>
    </row>
    <row r="2" spans="2:10" ht="21" x14ac:dyDescent="0.4">
      <c r="B2" s="2" t="s">
        <v>179</v>
      </c>
    </row>
    <row r="3" spans="2:10" x14ac:dyDescent="0.3">
      <c r="B3" s="3" t="s">
        <v>180</v>
      </c>
    </row>
    <row r="5" spans="2:10" x14ac:dyDescent="0.3">
      <c r="B5" s="6" t="s">
        <v>181</v>
      </c>
    </row>
    <row r="6" spans="2:10" x14ac:dyDescent="0.3">
      <c r="B6" s="7" t="s">
        <v>28</v>
      </c>
      <c r="C6" s="7" t="s">
        <v>182</v>
      </c>
      <c r="D6" s="7" t="s">
        <v>183</v>
      </c>
      <c r="E6" s="7" t="s">
        <v>184</v>
      </c>
      <c r="F6" s="7" t="s">
        <v>185</v>
      </c>
      <c r="G6" s="7" t="s">
        <v>186</v>
      </c>
      <c r="H6" s="7" t="s">
        <v>187</v>
      </c>
      <c r="I6" s="7" t="s">
        <v>123</v>
      </c>
    </row>
    <row r="7" spans="2:10" x14ac:dyDescent="0.3">
      <c r="B7" s="10">
        <f t="shared" ref="B7:B16" si="0">ROUND(E7-G7,2)</f>
        <v>0</v>
      </c>
      <c r="C7" s="8" t="s">
        <v>188</v>
      </c>
      <c r="D7" s="8" t="s">
        <v>189</v>
      </c>
      <c r="E7" s="9">
        <f>'05 Invoices &amp; lines'!L46</f>
        <v>2824000</v>
      </c>
      <c r="F7" s="8" t="s">
        <v>190</v>
      </c>
      <c r="G7" s="9">
        <f>'05 Invoices &amp; lines'!N115</f>
        <v>2824000</v>
      </c>
      <c r="H7" s="8" t="s">
        <v>191</v>
      </c>
      <c r="I7" s="8" t="s">
        <v>127</v>
      </c>
    </row>
    <row r="8" spans="2:10" x14ac:dyDescent="0.3">
      <c r="B8" s="14">
        <f t="shared" si="0"/>
        <v>0</v>
      </c>
      <c r="C8" s="12" t="s">
        <v>192</v>
      </c>
      <c r="D8" s="12" t="s">
        <v>193</v>
      </c>
      <c r="E8" s="13">
        <f>'03 VAT return'!$F$8+'03 VAT return'!$F$9+'03 VAT return'!$F$10</f>
        <v>328650</v>
      </c>
      <c r="F8" s="12" t="s">
        <v>194</v>
      </c>
      <c r="G8" s="13">
        <f>'04 GL reconciliation'!D36</f>
        <v>328650</v>
      </c>
      <c r="H8" s="12" t="s">
        <v>195</v>
      </c>
      <c r="I8" s="12" t="s">
        <v>134</v>
      </c>
    </row>
    <row r="9" spans="2:10" x14ac:dyDescent="0.3">
      <c r="B9" s="10">
        <f t="shared" si="0"/>
        <v>0</v>
      </c>
      <c r="C9" s="8" t="s">
        <v>196</v>
      </c>
      <c r="D9" s="8" t="s">
        <v>197</v>
      </c>
      <c r="E9" s="9">
        <f>'03 VAT return'!$F$14</f>
        <v>18400</v>
      </c>
      <c r="F9" s="8" t="s">
        <v>198</v>
      </c>
      <c r="G9" s="9">
        <f>'04 GL reconciliation'!D37</f>
        <v>18400</v>
      </c>
      <c r="H9" s="8" t="s">
        <v>199</v>
      </c>
      <c r="I9" s="8" t="s">
        <v>134</v>
      </c>
    </row>
    <row r="10" spans="2:10" x14ac:dyDescent="0.3">
      <c r="B10" s="14">
        <f t="shared" si="0"/>
        <v>0</v>
      </c>
      <c r="C10" s="12" t="s">
        <v>200</v>
      </c>
      <c r="D10" s="12" t="s">
        <v>201</v>
      </c>
      <c r="E10" s="13">
        <f>'03 VAT return'!$F$17</f>
        <v>82250</v>
      </c>
      <c r="F10" s="12" t="s">
        <v>202</v>
      </c>
      <c r="G10" s="13">
        <f>'04 GL reconciliation'!D38</f>
        <v>82250</v>
      </c>
      <c r="H10" s="12" t="s">
        <v>203</v>
      </c>
      <c r="I10" s="12" t="s">
        <v>134</v>
      </c>
    </row>
    <row r="11" spans="2:10" x14ac:dyDescent="0.3">
      <c r="B11" s="10">
        <f t="shared" si="0"/>
        <v>0</v>
      </c>
      <c r="C11" s="8" t="s">
        <v>204</v>
      </c>
      <c r="D11" s="8" t="s">
        <v>205</v>
      </c>
      <c r="E11" s="9">
        <f>'03 VAT return'!$F$18</f>
        <v>264800</v>
      </c>
      <c r="F11" s="8" t="s">
        <v>206</v>
      </c>
      <c r="G11" s="9">
        <f>'04 GL reconciliation'!D39</f>
        <v>264800</v>
      </c>
      <c r="H11" s="8" t="s">
        <v>207</v>
      </c>
      <c r="I11" s="8" t="s">
        <v>134</v>
      </c>
    </row>
    <row r="12" spans="2:10" x14ac:dyDescent="0.3">
      <c r="B12" s="14">
        <f t="shared" si="0"/>
        <v>0</v>
      </c>
      <c r="C12" s="12" t="s">
        <v>208</v>
      </c>
      <c r="D12" s="12" t="s">
        <v>209</v>
      </c>
      <c r="E12" s="13">
        <f>'03 VAT return'!$F$15</f>
        <v>1095000</v>
      </c>
      <c r="F12" s="12" t="s">
        <v>210</v>
      </c>
      <c r="G12" s="13">
        <f>'06 EU sales list'!C29</f>
        <v>1095000</v>
      </c>
      <c r="H12" s="12" t="s">
        <v>211</v>
      </c>
      <c r="I12" s="12" t="s">
        <v>127</v>
      </c>
    </row>
    <row r="13" spans="2:10" x14ac:dyDescent="0.3">
      <c r="B13" s="10">
        <f t="shared" si="0"/>
        <v>0</v>
      </c>
      <c r="C13" s="8" t="s">
        <v>212</v>
      </c>
      <c r="D13" s="8" t="s">
        <v>213</v>
      </c>
      <c r="E13" s="9">
        <f>'03 VAT return'!$F$16</f>
        <v>55000</v>
      </c>
      <c r="F13" s="8" t="s">
        <v>214</v>
      </c>
      <c r="G13" s="9">
        <f>'06 EU sales list'!E29</f>
        <v>55000</v>
      </c>
      <c r="H13" s="8" t="s">
        <v>215</v>
      </c>
      <c r="I13" s="8" t="s">
        <v>127</v>
      </c>
    </row>
    <row r="14" spans="2:10" x14ac:dyDescent="0.3">
      <c r="B14" s="14">
        <f t="shared" si="0"/>
        <v>0</v>
      </c>
      <c r="C14" s="12" t="s">
        <v>216</v>
      </c>
      <c r="D14" s="12" t="s">
        <v>210</v>
      </c>
      <c r="E14" s="13">
        <f>'06 EU sales list'!C29</f>
        <v>1095000</v>
      </c>
      <c r="F14" s="12" t="s">
        <v>217</v>
      </c>
      <c r="G14" s="13">
        <f>'07 Intrastat'!I30</f>
        <v>1095000</v>
      </c>
      <c r="H14" s="12" t="s">
        <v>218</v>
      </c>
      <c r="I14" s="12" t="s">
        <v>127</v>
      </c>
    </row>
    <row r="15" spans="2:10" x14ac:dyDescent="0.3">
      <c r="B15" s="10">
        <f t="shared" si="0"/>
        <v>2137.08</v>
      </c>
      <c r="C15" s="8" t="s">
        <v>219</v>
      </c>
      <c r="D15" s="8" t="s">
        <v>220</v>
      </c>
      <c r="E15" s="9">
        <f>'03 VAT return'!$F$13</f>
        <v>20800</v>
      </c>
      <c r="F15" s="8" t="s">
        <v>221</v>
      </c>
      <c r="G15" s="9">
        <f>'03 VAT return'!$F$13-'05 Invoices &amp; lines'!B125</f>
        <v>18662.919999999998</v>
      </c>
      <c r="H15" s="8" t="s">
        <v>222</v>
      </c>
      <c r="I15" s="8" t="s">
        <v>134</v>
      </c>
    </row>
    <row r="16" spans="2:10" x14ac:dyDescent="0.3">
      <c r="B16" s="14">
        <f t="shared" si="0"/>
        <v>0</v>
      </c>
      <c r="C16" s="12" t="s">
        <v>223</v>
      </c>
      <c r="D16" s="12" t="s">
        <v>224</v>
      </c>
      <c r="E16" s="13">
        <f>'03 VAT return'!$F$18</f>
        <v>264800</v>
      </c>
      <c r="F16" s="12" t="s">
        <v>225</v>
      </c>
      <c r="G16" s="13">
        <f>'03 VAT return'!$E$33</f>
        <v>264800</v>
      </c>
      <c r="H16" s="12" t="s">
        <v>226</v>
      </c>
      <c r="I16" s="12" t="s">
        <v>134</v>
      </c>
    </row>
    <row r="18" spans="2:9" ht="28.05" customHeight="1" x14ac:dyDescent="0.3">
      <c r="B18" s="40" t="s">
        <v>227</v>
      </c>
      <c r="C18" s="41"/>
      <c r="D18" s="41"/>
      <c r="E18" s="41"/>
      <c r="F18" s="41"/>
      <c r="G18" s="41"/>
      <c r="H18" s="41"/>
      <c r="I18" s="41"/>
    </row>
    <row r="20" spans="2:9" x14ac:dyDescent="0.3">
      <c r="B20" s="20" t="s">
        <v>228</v>
      </c>
    </row>
    <row r="21" spans="2:9" x14ac:dyDescent="0.3">
      <c r="B21" s="20" t="s">
        <v>229</v>
      </c>
    </row>
    <row r="22" spans="2:9" x14ac:dyDescent="0.3">
      <c r="B22" s="20" t="s">
        <v>230</v>
      </c>
    </row>
    <row r="23" spans="2:9" x14ac:dyDescent="0.3">
      <c r="B23" s="20" t="s">
        <v>231</v>
      </c>
    </row>
    <row r="24" spans="2:9" x14ac:dyDescent="0.3">
      <c r="B24" s="20" t="s">
        <v>232</v>
      </c>
    </row>
  </sheetData>
  <mergeCells count="1">
    <mergeCell ref="B18:I18"/>
  </mergeCells>
  <conditionalFormatting sqref="B7:B16">
    <cfRule type="expression" dxfId="27" priority="1">
      <formula>ABS(B7)&lt;0.01</formula>
    </cfRule>
    <cfRule type="expression" dxfId="26" priority="2">
      <formula>ABS(B7)&gt;=0.01</formula>
    </cfRule>
  </conditionalFormatting>
  <hyperlinks>
    <hyperlink ref="J1" location="'00 Summary'!B2" display="← Summary" xr:uid="{00000000-0004-0000-0200-000000000000}"/>
    <hyperlink ref="B20" location="'01 Findings'!B2" display="→ 01 Findings" xr:uid="{00000000-0004-0000-0200-000001000000}"/>
    <hyperlink ref="B21" location="'03 VAT return'!B2" display="→ 03 VAT return" xr:uid="{00000000-0004-0000-0200-000002000000}"/>
    <hyperlink ref="B22" location="'04 GL reconciliation'!B2" display="→ 04 GL reconciliation" xr:uid="{00000000-0004-0000-0200-000003000000}"/>
    <hyperlink ref="B23" location="'06 EU sales list'!B2" display="→ 06 EU sales list" xr:uid="{00000000-0004-0000-0200-000004000000}"/>
    <hyperlink ref="B24" location="'07 Intrastat'!B2" display="→ 07 Intrastat" xr:uid="{00000000-0004-0000-0200-000005000000}"/>
  </hyperlinks>
  <pageMargins left="0.75" right="0.75" top="1" bottom="1" header="0.5" footer="0.5"/>
  <pageSetup fitToHeight="0" orientation="landscape"/>
  <headerFooter>
    <oddFooter>&amp;LVatli sample · v5 · built 2026-09-24&amp;R&amp;A · page &amp;P of &amp;N</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74"/>
  <sheetViews>
    <sheetView showGridLines="0" workbookViewId="0">
      <pane xSplit="1" ySplit="4" topLeftCell="B5" activePane="bottomRight" state="frozen"/>
      <selection pane="topRight"/>
      <selection pane="bottomLeft"/>
      <selection pane="bottomRight"/>
    </sheetView>
  </sheetViews>
  <sheetFormatPr defaultRowHeight="14.4" x14ac:dyDescent="0.3"/>
  <cols>
    <col min="1" max="1" width="2" customWidth="1"/>
    <col min="2" max="2" width="14" customWidth="1"/>
    <col min="3" max="3" width="50" customWidth="1"/>
    <col min="4" max="4" width="18" customWidth="1"/>
    <col min="5" max="5" width="16" customWidth="1"/>
    <col min="6" max="6" width="24" customWidth="1"/>
    <col min="7" max="7" width="40" customWidth="1"/>
    <col min="8" max="8" width="13" customWidth="1"/>
  </cols>
  <sheetData>
    <row r="1" spans="2:9" x14ac:dyDescent="0.3">
      <c r="B1" s="1" t="s">
        <v>0</v>
      </c>
      <c r="I1" s="21" t="s">
        <v>97</v>
      </c>
    </row>
    <row r="2" spans="2:9" ht="21" x14ac:dyDescent="0.4">
      <c r="B2" s="2" t="s">
        <v>233</v>
      </c>
    </row>
    <row r="3" spans="2:9" x14ac:dyDescent="0.3">
      <c r="B3" s="3" t="s">
        <v>234</v>
      </c>
    </row>
    <row r="5" spans="2:9" x14ac:dyDescent="0.3">
      <c r="B5" s="6" t="s">
        <v>235</v>
      </c>
      <c r="D5" s="20" t="s">
        <v>236</v>
      </c>
    </row>
    <row r="6" spans="2:9" x14ac:dyDescent="0.3">
      <c r="B6" s="7" t="s">
        <v>22</v>
      </c>
      <c r="C6" s="7" t="s">
        <v>23</v>
      </c>
      <c r="D6" s="7" t="s">
        <v>24</v>
      </c>
      <c r="E6" s="7" t="s">
        <v>25</v>
      </c>
      <c r="F6" s="7" t="s">
        <v>26</v>
      </c>
      <c r="G6" s="7" t="s">
        <v>237</v>
      </c>
    </row>
    <row r="7" spans="2:9" x14ac:dyDescent="0.3">
      <c r="B7" s="8" t="s">
        <v>31</v>
      </c>
      <c r="C7" s="8" t="s">
        <v>32</v>
      </c>
      <c r="D7" s="9">
        <f>C66+C67</f>
        <v>1345000</v>
      </c>
      <c r="E7" s="9">
        <v>0</v>
      </c>
      <c r="F7" s="9">
        <f t="shared" ref="F7:F17" si="0">D7+E7</f>
        <v>1345000</v>
      </c>
      <c r="G7" s="8" t="s">
        <v>238</v>
      </c>
    </row>
    <row r="8" spans="2:9" x14ac:dyDescent="0.3">
      <c r="B8" s="12" t="s">
        <v>33</v>
      </c>
      <c r="C8" s="12" t="s">
        <v>34</v>
      </c>
      <c r="D8" s="13">
        <f>D66</f>
        <v>328650</v>
      </c>
      <c r="E8" s="13">
        <f>SUMIFS('08 Trail'!$H$23:$H$24,'08 Trail'!$I$23:$I$24,"10",'08 Trail'!$K$23:$K$24,"Approved")-'05 Invoices &amp; lines'!O83</f>
        <v>-2400</v>
      </c>
      <c r="F8" s="13">
        <f t="shared" si="0"/>
        <v>326250</v>
      </c>
      <c r="G8" s="12" t="s">
        <v>239</v>
      </c>
    </row>
    <row r="9" spans="2:9" x14ac:dyDescent="0.3">
      <c r="B9" s="8" t="s">
        <v>35</v>
      </c>
      <c r="C9" s="8" t="s">
        <v>36</v>
      </c>
      <c r="D9" s="9">
        <v>0</v>
      </c>
      <c r="E9" s="9">
        <v>0</v>
      </c>
      <c r="F9" s="9">
        <f t="shared" si="0"/>
        <v>0</v>
      </c>
      <c r="G9" s="8" t="s">
        <v>240</v>
      </c>
    </row>
    <row r="10" spans="2:9" x14ac:dyDescent="0.3">
      <c r="B10" s="12" t="s">
        <v>37</v>
      </c>
      <c r="C10" s="12" t="s">
        <v>38</v>
      </c>
      <c r="D10" s="13">
        <f>D67</f>
        <v>0</v>
      </c>
      <c r="E10" s="13">
        <f>SUMIFS('08 Trail'!$H$23:$H$24,'08 Trail'!$I$23:$I$24,"12",'08 Trail'!$K$23:$K$24,"Approved")</f>
        <v>2400</v>
      </c>
      <c r="F10" s="13">
        <f t="shared" si="0"/>
        <v>2400</v>
      </c>
      <c r="G10" s="12" t="s">
        <v>241</v>
      </c>
    </row>
    <row r="11" spans="2:9" x14ac:dyDescent="0.3">
      <c r="B11" s="8" t="s">
        <v>39</v>
      </c>
      <c r="C11" s="8" t="s">
        <v>40</v>
      </c>
      <c r="D11" s="9">
        <f>C73</f>
        <v>9600</v>
      </c>
      <c r="E11" s="9">
        <v>0</v>
      </c>
      <c r="F11" s="9">
        <f t="shared" si="0"/>
        <v>9600</v>
      </c>
      <c r="G11" s="8" t="s">
        <v>238</v>
      </c>
    </row>
    <row r="12" spans="2:9" x14ac:dyDescent="0.3">
      <c r="B12" s="12" t="s">
        <v>41</v>
      </c>
      <c r="C12" s="12" t="s">
        <v>42</v>
      </c>
      <c r="D12" s="13">
        <f>C71</f>
        <v>43200</v>
      </c>
      <c r="E12" s="13">
        <v>0</v>
      </c>
      <c r="F12" s="13">
        <f t="shared" si="0"/>
        <v>43200</v>
      </c>
      <c r="G12" s="12" t="s">
        <v>238</v>
      </c>
    </row>
    <row r="13" spans="2:9" x14ac:dyDescent="0.3">
      <c r="B13" s="8" t="s">
        <v>43</v>
      </c>
      <c r="C13" s="8" t="s">
        <v>44</v>
      </c>
      <c r="D13" s="9">
        <f>C72</f>
        <v>20800</v>
      </c>
      <c r="E13" s="9">
        <v>0</v>
      </c>
      <c r="F13" s="9">
        <f t="shared" si="0"/>
        <v>20800</v>
      </c>
      <c r="G13" s="8" t="s">
        <v>238</v>
      </c>
    </row>
    <row r="14" spans="2:9" x14ac:dyDescent="0.3">
      <c r="B14" s="12" t="s">
        <v>45</v>
      </c>
      <c r="C14" s="12" t="s">
        <v>46</v>
      </c>
      <c r="D14" s="13">
        <f>E74</f>
        <v>18400</v>
      </c>
      <c r="E14" s="13">
        <v>0</v>
      </c>
      <c r="F14" s="13">
        <f t="shared" si="0"/>
        <v>18400</v>
      </c>
      <c r="G14" s="12" t="s">
        <v>242</v>
      </c>
    </row>
    <row r="15" spans="2:9" x14ac:dyDescent="0.3">
      <c r="B15" s="8" t="s">
        <v>47</v>
      </c>
      <c r="C15" s="8" t="s">
        <v>48</v>
      </c>
      <c r="D15" s="9">
        <f>C68</f>
        <v>1095000</v>
      </c>
      <c r="E15" s="9">
        <v>0</v>
      </c>
      <c r="F15" s="9">
        <f t="shared" si="0"/>
        <v>1095000</v>
      </c>
      <c r="G15" s="8" t="s">
        <v>238</v>
      </c>
    </row>
    <row r="16" spans="2:9" x14ac:dyDescent="0.3">
      <c r="B16" s="12" t="s">
        <v>49</v>
      </c>
      <c r="C16" s="12" t="s">
        <v>50</v>
      </c>
      <c r="D16" s="13">
        <f>C69</f>
        <v>55000</v>
      </c>
      <c r="E16" s="13">
        <v>0</v>
      </c>
      <c r="F16" s="13">
        <f t="shared" si="0"/>
        <v>55000</v>
      </c>
      <c r="G16" s="12" t="s">
        <v>238</v>
      </c>
    </row>
    <row r="17" spans="2:7" x14ac:dyDescent="0.3">
      <c r="B17" s="8" t="s">
        <v>51</v>
      </c>
      <c r="C17" s="8" t="s">
        <v>52</v>
      </c>
      <c r="D17" s="9">
        <f>F74</f>
        <v>82250</v>
      </c>
      <c r="E17" s="9">
        <v>0</v>
      </c>
      <c r="F17" s="9">
        <f t="shared" si="0"/>
        <v>82250</v>
      </c>
      <c r="G17" s="8" t="s">
        <v>243</v>
      </c>
    </row>
    <row r="18" spans="2:7" x14ac:dyDescent="0.3">
      <c r="B18" s="12" t="s">
        <v>53</v>
      </c>
      <c r="C18" s="12" t="s">
        <v>54</v>
      </c>
      <c r="D18" s="13">
        <f>D8+D9+D10+D14-D17</f>
        <v>264800</v>
      </c>
      <c r="E18" s="13">
        <f>E8+E9+E10+E14-E17</f>
        <v>0</v>
      </c>
      <c r="F18" s="13">
        <f>F8+F9+F10+F14-F17</f>
        <v>264800</v>
      </c>
      <c r="G18" s="12" t="s">
        <v>244</v>
      </c>
    </row>
    <row r="20" spans="2:7" x14ac:dyDescent="0.3">
      <c r="B20" s="6" t="s">
        <v>245</v>
      </c>
    </row>
    <row r="21" spans="2:7" x14ac:dyDescent="0.3">
      <c r="B21" s="7" t="s">
        <v>22</v>
      </c>
      <c r="C21" s="7" t="s">
        <v>23</v>
      </c>
      <c r="D21" s="7" t="s">
        <v>26</v>
      </c>
      <c r="E21" s="7" t="s">
        <v>27</v>
      </c>
      <c r="F21" s="7" t="s">
        <v>28</v>
      </c>
    </row>
    <row r="22" spans="2:7" x14ac:dyDescent="0.3">
      <c r="B22" s="8" t="s">
        <v>31</v>
      </c>
      <c r="C22" s="8" t="s">
        <v>32</v>
      </c>
      <c r="D22" s="9">
        <f t="shared" ref="D22:D33" si="1">F7</f>
        <v>1345000</v>
      </c>
      <c r="E22" s="9">
        <v>1345000</v>
      </c>
      <c r="F22" s="10">
        <f t="shared" ref="F22:F33" si="2">ROUND(E22-D22,2)</f>
        <v>0</v>
      </c>
    </row>
    <row r="23" spans="2:7" x14ac:dyDescent="0.3">
      <c r="B23" s="12" t="s">
        <v>33</v>
      </c>
      <c r="C23" s="12" t="s">
        <v>34</v>
      </c>
      <c r="D23" s="13">
        <f t="shared" si="1"/>
        <v>326250</v>
      </c>
      <c r="E23" s="13">
        <v>326250</v>
      </c>
      <c r="F23" s="14">
        <f t="shared" si="2"/>
        <v>0</v>
      </c>
    </row>
    <row r="24" spans="2:7" x14ac:dyDescent="0.3">
      <c r="B24" s="8" t="s">
        <v>35</v>
      </c>
      <c r="C24" s="8" t="s">
        <v>36</v>
      </c>
      <c r="D24" s="9">
        <f t="shared" si="1"/>
        <v>0</v>
      </c>
      <c r="E24" s="9">
        <v>0</v>
      </c>
      <c r="F24" s="10">
        <f t="shared" si="2"/>
        <v>0</v>
      </c>
    </row>
    <row r="25" spans="2:7" x14ac:dyDescent="0.3">
      <c r="B25" s="12" t="s">
        <v>37</v>
      </c>
      <c r="C25" s="12" t="s">
        <v>38</v>
      </c>
      <c r="D25" s="13">
        <f t="shared" si="1"/>
        <v>2400</v>
      </c>
      <c r="E25" s="13">
        <v>2400</v>
      </c>
      <c r="F25" s="14">
        <f t="shared" si="2"/>
        <v>0</v>
      </c>
    </row>
    <row r="26" spans="2:7" x14ac:dyDescent="0.3">
      <c r="B26" s="8" t="s">
        <v>39</v>
      </c>
      <c r="C26" s="8" t="s">
        <v>40</v>
      </c>
      <c r="D26" s="9">
        <f t="shared" si="1"/>
        <v>9600</v>
      </c>
      <c r="E26" s="9">
        <v>9600</v>
      </c>
      <c r="F26" s="10">
        <f t="shared" si="2"/>
        <v>0</v>
      </c>
    </row>
    <row r="27" spans="2:7" x14ac:dyDescent="0.3">
      <c r="B27" s="12" t="s">
        <v>41</v>
      </c>
      <c r="C27" s="12" t="s">
        <v>42</v>
      </c>
      <c r="D27" s="13">
        <f t="shared" si="1"/>
        <v>43200</v>
      </c>
      <c r="E27" s="13">
        <v>43200</v>
      </c>
      <c r="F27" s="14">
        <f t="shared" si="2"/>
        <v>0</v>
      </c>
    </row>
    <row r="28" spans="2:7" x14ac:dyDescent="0.3">
      <c r="B28" s="8" t="s">
        <v>43</v>
      </c>
      <c r="C28" s="8" t="s">
        <v>44</v>
      </c>
      <c r="D28" s="9">
        <f t="shared" si="1"/>
        <v>20800</v>
      </c>
      <c r="E28" s="9">
        <v>20800</v>
      </c>
      <c r="F28" s="10">
        <f t="shared" si="2"/>
        <v>0</v>
      </c>
    </row>
    <row r="29" spans="2:7" x14ac:dyDescent="0.3">
      <c r="B29" s="12" t="s">
        <v>45</v>
      </c>
      <c r="C29" s="12" t="s">
        <v>46</v>
      </c>
      <c r="D29" s="13">
        <f t="shared" si="1"/>
        <v>18400</v>
      </c>
      <c r="E29" s="13">
        <v>18400</v>
      </c>
      <c r="F29" s="14">
        <f t="shared" si="2"/>
        <v>0</v>
      </c>
    </row>
    <row r="30" spans="2:7" x14ac:dyDescent="0.3">
      <c r="B30" s="8" t="s">
        <v>47</v>
      </c>
      <c r="C30" s="8" t="s">
        <v>48</v>
      </c>
      <c r="D30" s="9">
        <f t="shared" si="1"/>
        <v>1095000</v>
      </c>
      <c r="E30" s="9">
        <v>1095000</v>
      </c>
      <c r="F30" s="10">
        <f t="shared" si="2"/>
        <v>0</v>
      </c>
    </row>
    <row r="31" spans="2:7" x14ac:dyDescent="0.3">
      <c r="B31" s="12" t="s">
        <v>49</v>
      </c>
      <c r="C31" s="12" t="s">
        <v>50</v>
      </c>
      <c r="D31" s="13">
        <f t="shared" si="1"/>
        <v>55000</v>
      </c>
      <c r="E31" s="13">
        <v>55000</v>
      </c>
      <c r="F31" s="14">
        <f t="shared" si="2"/>
        <v>0</v>
      </c>
    </row>
    <row r="32" spans="2:7" x14ac:dyDescent="0.3">
      <c r="B32" s="8" t="s">
        <v>51</v>
      </c>
      <c r="C32" s="8" t="s">
        <v>52</v>
      </c>
      <c r="D32" s="9">
        <f t="shared" si="1"/>
        <v>82250</v>
      </c>
      <c r="E32" s="9">
        <v>82250</v>
      </c>
      <c r="F32" s="10">
        <f t="shared" si="2"/>
        <v>0</v>
      </c>
    </row>
    <row r="33" spans="2:7" x14ac:dyDescent="0.3">
      <c r="B33" s="12" t="s">
        <v>53</v>
      </c>
      <c r="C33" s="12" t="s">
        <v>54</v>
      </c>
      <c r="D33" s="13">
        <f t="shared" si="1"/>
        <v>264800</v>
      </c>
      <c r="E33" s="13">
        <v>264800</v>
      </c>
      <c r="F33" s="14">
        <f t="shared" si="2"/>
        <v>0</v>
      </c>
    </row>
    <row r="35" spans="2:7" ht="28.05" customHeight="1" x14ac:dyDescent="0.3">
      <c r="B35" s="40" t="s">
        <v>246</v>
      </c>
      <c r="C35" s="41"/>
      <c r="D35" s="41"/>
      <c r="E35" s="41"/>
      <c r="F35" s="41"/>
      <c r="G35" s="41"/>
    </row>
    <row r="37" spans="2:7" x14ac:dyDescent="0.3">
      <c r="B37" s="6" t="s">
        <v>247</v>
      </c>
    </row>
    <row r="38" spans="2:7" x14ac:dyDescent="0.3">
      <c r="B38" s="7" t="s">
        <v>22</v>
      </c>
      <c r="C38" s="7" t="s">
        <v>248</v>
      </c>
      <c r="D38" s="7" t="s">
        <v>249</v>
      </c>
    </row>
    <row r="39" spans="2:7" x14ac:dyDescent="0.3">
      <c r="B39" s="8" t="s">
        <v>31</v>
      </c>
      <c r="C39" s="8" t="s">
        <v>250</v>
      </c>
      <c r="D39" s="28">
        <f t="shared" ref="D39:D50" si="3">TRUNC(F7)</f>
        <v>1345000</v>
      </c>
    </row>
    <row r="40" spans="2:7" x14ac:dyDescent="0.3">
      <c r="B40" s="12" t="s">
        <v>33</v>
      </c>
      <c r="C40" s="12" t="s">
        <v>251</v>
      </c>
      <c r="D40" s="29">
        <f t="shared" si="3"/>
        <v>326250</v>
      </c>
    </row>
    <row r="41" spans="2:7" x14ac:dyDescent="0.3">
      <c r="B41" s="8" t="s">
        <v>35</v>
      </c>
      <c r="C41" s="8" t="s">
        <v>252</v>
      </c>
      <c r="D41" s="28">
        <f t="shared" si="3"/>
        <v>0</v>
      </c>
    </row>
    <row r="42" spans="2:7" x14ac:dyDescent="0.3">
      <c r="B42" s="12" t="s">
        <v>37</v>
      </c>
      <c r="C42" s="12" t="s">
        <v>253</v>
      </c>
      <c r="D42" s="29">
        <f t="shared" si="3"/>
        <v>2400</v>
      </c>
    </row>
    <row r="43" spans="2:7" x14ac:dyDescent="0.3">
      <c r="B43" s="8" t="s">
        <v>39</v>
      </c>
      <c r="C43" s="8" t="s">
        <v>254</v>
      </c>
      <c r="D43" s="28">
        <f t="shared" si="3"/>
        <v>9600</v>
      </c>
    </row>
    <row r="44" spans="2:7" x14ac:dyDescent="0.3">
      <c r="B44" s="12" t="s">
        <v>41</v>
      </c>
      <c r="C44" s="23" t="s">
        <v>255</v>
      </c>
      <c r="D44" s="29">
        <f t="shared" si="3"/>
        <v>43200</v>
      </c>
    </row>
    <row r="45" spans="2:7" ht="27.6" x14ac:dyDescent="0.3">
      <c r="B45" s="8" t="s">
        <v>43</v>
      </c>
      <c r="C45" s="22" t="s">
        <v>256</v>
      </c>
      <c r="D45" s="28">
        <f t="shared" si="3"/>
        <v>20800</v>
      </c>
    </row>
    <row r="46" spans="2:7" x14ac:dyDescent="0.3">
      <c r="B46" s="12" t="s">
        <v>45</v>
      </c>
      <c r="C46" s="12" t="s">
        <v>257</v>
      </c>
      <c r="D46" s="29">
        <f t="shared" si="3"/>
        <v>18400</v>
      </c>
    </row>
    <row r="47" spans="2:7" x14ac:dyDescent="0.3">
      <c r="B47" s="8" t="s">
        <v>47</v>
      </c>
      <c r="C47" s="8" t="s">
        <v>258</v>
      </c>
      <c r="D47" s="28">
        <f t="shared" si="3"/>
        <v>1095000</v>
      </c>
    </row>
    <row r="48" spans="2:7" ht="27.6" x14ac:dyDescent="0.3">
      <c r="B48" s="12" t="s">
        <v>49</v>
      </c>
      <c r="C48" s="23" t="s">
        <v>259</v>
      </c>
      <c r="D48" s="29">
        <f t="shared" si="3"/>
        <v>55000</v>
      </c>
    </row>
    <row r="49" spans="2:8" x14ac:dyDescent="0.3">
      <c r="B49" s="8" t="s">
        <v>51</v>
      </c>
      <c r="C49" s="8" t="s">
        <v>260</v>
      </c>
      <c r="D49" s="28">
        <f t="shared" si="3"/>
        <v>82250</v>
      </c>
    </row>
    <row r="50" spans="2:8" x14ac:dyDescent="0.3">
      <c r="B50" s="12" t="s">
        <v>53</v>
      </c>
      <c r="C50" s="12" t="s">
        <v>261</v>
      </c>
      <c r="D50" s="29">
        <f t="shared" si="3"/>
        <v>264800</v>
      </c>
    </row>
    <row r="52" spans="2:8" ht="13.95" customHeight="1" x14ac:dyDescent="0.3">
      <c r="B52" s="40" t="s">
        <v>262</v>
      </c>
      <c r="C52" s="41"/>
      <c r="D52" s="41"/>
      <c r="E52" s="41"/>
      <c r="F52" s="41"/>
      <c r="G52" s="41"/>
    </row>
    <row r="54" spans="2:8" x14ac:dyDescent="0.3">
      <c r="B54" s="6" t="s">
        <v>263</v>
      </c>
    </row>
    <row r="55" spans="2:8" x14ac:dyDescent="0.3">
      <c r="B55" s="7" t="s">
        <v>264</v>
      </c>
      <c r="C55" s="7" t="s">
        <v>23</v>
      </c>
      <c r="D55" s="7" t="s">
        <v>265</v>
      </c>
      <c r="E55" s="7" t="s">
        <v>266</v>
      </c>
      <c r="F55" s="7" t="s">
        <v>267</v>
      </c>
      <c r="G55" s="7" t="s">
        <v>268</v>
      </c>
      <c r="H55" s="7" t="s">
        <v>269</v>
      </c>
    </row>
    <row r="56" spans="2:8" x14ac:dyDescent="0.3">
      <c r="B56" s="8" t="s">
        <v>270</v>
      </c>
      <c r="C56" s="8" t="s">
        <v>271</v>
      </c>
      <c r="D56" s="8" t="s">
        <v>272</v>
      </c>
      <c r="E56" s="30">
        <v>0.25</v>
      </c>
      <c r="F56" s="8" t="s">
        <v>273</v>
      </c>
      <c r="G56" s="8" t="s">
        <v>274</v>
      </c>
      <c r="H56" s="8" t="s">
        <v>275</v>
      </c>
    </row>
    <row r="57" spans="2:8" x14ac:dyDescent="0.3">
      <c r="B57" s="12" t="s">
        <v>276</v>
      </c>
      <c r="C57" s="12" t="s">
        <v>277</v>
      </c>
      <c r="D57" s="12" t="s">
        <v>272</v>
      </c>
      <c r="E57" s="31">
        <v>0.06</v>
      </c>
      <c r="F57" s="12" t="s">
        <v>273</v>
      </c>
      <c r="G57" s="12" t="s">
        <v>278</v>
      </c>
      <c r="H57" s="12" t="s">
        <v>279</v>
      </c>
    </row>
    <row r="58" spans="2:8" x14ac:dyDescent="0.3">
      <c r="B58" s="8" t="s">
        <v>280</v>
      </c>
      <c r="C58" s="8" t="s">
        <v>281</v>
      </c>
      <c r="D58" s="8" t="s">
        <v>272</v>
      </c>
      <c r="E58" s="30">
        <v>0</v>
      </c>
      <c r="F58" s="8" t="s">
        <v>273</v>
      </c>
      <c r="G58" s="8" t="s">
        <v>47</v>
      </c>
      <c r="H58" s="8" t="s">
        <v>282</v>
      </c>
    </row>
    <row r="59" spans="2:8" x14ac:dyDescent="0.3">
      <c r="B59" s="12" t="s">
        <v>283</v>
      </c>
      <c r="C59" s="12" t="s">
        <v>50</v>
      </c>
      <c r="D59" s="12" t="s">
        <v>272</v>
      </c>
      <c r="E59" s="31">
        <v>0</v>
      </c>
      <c r="F59" s="12" t="s">
        <v>273</v>
      </c>
      <c r="G59" s="12" t="s">
        <v>49</v>
      </c>
      <c r="H59" s="12" t="s">
        <v>284</v>
      </c>
    </row>
    <row r="60" spans="2:8" x14ac:dyDescent="0.3">
      <c r="B60" s="8" t="s">
        <v>285</v>
      </c>
      <c r="C60" s="8" t="s">
        <v>286</v>
      </c>
      <c r="D60" s="8" t="s">
        <v>287</v>
      </c>
      <c r="E60" s="30">
        <v>0.25</v>
      </c>
      <c r="F60" s="8" t="s">
        <v>273</v>
      </c>
      <c r="G60" s="8" t="s">
        <v>51</v>
      </c>
      <c r="H60" s="8" t="s">
        <v>288</v>
      </c>
    </row>
    <row r="61" spans="2:8" x14ac:dyDescent="0.3">
      <c r="B61" s="12" t="s">
        <v>289</v>
      </c>
      <c r="C61" s="12" t="s">
        <v>290</v>
      </c>
      <c r="D61" s="12" t="s">
        <v>287</v>
      </c>
      <c r="E61" s="31">
        <v>0.25</v>
      </c>
      <c r="F61" s="12" t="s">
        <v>291</v>
      </c>
      <c r="G61" s="12" t="s">
        <v>292</v>
      </c>
      <c r="H61" s="12" t="s">
        <v>293</v>
      </c>
    </row>
    <row r="62" spans="2:8" x14ac:dyDescent="0.3">
      <c r="B62" s="8" t="s">
        <v>294</v>
      </c>
      <c r="C62" s="8" t="s">
        <v>295</v>
      </c>
      <c r="D62" s="8" t="s">
        <v>287</v>
      </c>
      <c r="E62" s="30">
        <v>0.25</v>
      </c>
      <c r="F62" s="8" t="s">
        <v>291</v>
      </c>
      <c r="G62" s="8" t="s">
        <v>296</v>
      </c>
      <c r="H62" s="8" t="s">
        <v>297</v>
      </c>
    </row>
    <row r="63" spans="2:8" x14ac:dyDescent="0.3">
      <c r="B63" s="12" t="s">
        <v>298</v>
      </c>
      <c r="C63" s="12" t="s">
        <v>299</v>
      </c>
      <c r="D63" s="12" t="s">
        <v>287</v>
      </c>
      <c r="E63" s="31">
        <v>0.25</v>
      </c>
      <c r="F63" s="12" t="s">
        <v>291</v>
      </c>
      <c r="G63" s="12" t="s">
        <v>300</v>
      </c>
      <c r="H63" s="12" t="s">
        <v>301</v>
      </c>
    </row>
    <row r="65" spans="2:7" x14ac:dyDescent="0.3">
      <c r="B65" s="7" t="s">
        <v>264</v>
      </c>
      <c r="C65" s="7" t="s">
        <v>302</v>
      </c>
      <c r="D65" s="7" t="s">
        <v>303</v>
      </c>
      <c r="E65" s="7" t="s">
        <v>304</v>
      </c>
      <c r="F65" s="7" t="s">
        <v>305</v>
      </c>
      <c r="G65" s="7" t="s">
        <v>306</v>
      </c>
    </row>
    <row r="66" spans="2:7" x14ac:dyDescent="0.3">
      <c r="B66" s="8" t="s">
        <v>270</v>
      </c>
      <c r="C66" s="9">
        <f>SUMIFS('05 Invoices &amp; lines'!$N$50:$N$114,'05 Invoices &amp; lines'!$F$50:$F$114,B66)</f>
        <v>1345000</v>
      </c>
      <c r="D66" s="9">
        <f>SUMIFS('05 Invoices &amp; lines'!$O$50:$O$114,'05 Invoices &amp; lines'!$F$50:$F$114,B66)</f>
        <v>328650</v>
      </c>
      <c r="E66" s="9">
        <f>SUMIFS('05 Invoices &amp; lines'!$P$50:$P$114,'05 Invoices &amp; lines'!$F$50:$F$114,B66)</f>
        <v>0</v>
      </c>
      <c r="F66" s="9">
        <f>SUMIFS('05 Invoices &amp; lines'!$Q$50:$Q$114,'05 Invoices &amp; lines'!$F$50:$F$114,B66)</f>
        <v>0</v>
      </c>
      <c r="G66" s="8">
        <f>COUNTIF('05 Invoices &amp; lines'!$F$50:$F$114,B66)</f>
        <v>25</v>
      </c>
    </row>
    <row r="67" spans="2:7" x14ac:dyDescent="0.3">
      <c r="B67" s="12" t="s">
        <v>276</v>
      </c>
      <c r="C67" s="13">
        <f>SUMIFS('05 Invoices &amp; lines'!$N$50:$N$114,'05 Invoices &amp; lines'!$F$50:$F$114,B67)</f>
        <v>0</v>
      </c>
      <c r="D67" s="13">
        <f>SUMIFS('05 Invoices &amp; lines'!$O$50:$O$114,'05 Invoices &amp; lines'!$F$50:$F$114,B67)</f>
        <v>0</v>
      </c>
      <c r="E67" s="13">
        <f>SUMIFS('05 Invoices &amp; lines'!$P$50:$P$114,'05 Invoices &amp; lines'!$F$50:$F$114,B67)</f>
        <v>0</v>
      </c>
      <c r="F67" s="13">
        <f>SUMIFS('05 Invoices &amp; lines'!$Q$50:$Q$114,'05 Invoices &amp; lines'!$F$50:$F$114,B67)</f>
        <v>0</v>
      </c>
      <c r="G67" s="12">
        <f>COUNTIF('05 Invoices &amp; lines'!$F$50:$F$114,B67)</f>
        <v>0</v>
      </c>
    </row>
    <row r="68" spans="2:7" x14ac:dyDescent="0.3">
      <c r="B68" s="8" t="s">
        <v>280</v>
      </c>
      <c r="C68" s="9">
        <f>SUMIFS('05 Invoices &amp; lines'!$N$50:$N$114,'05 Invoices &amp; lines'!$F$50:$F$114,B68)</f>
        <v>1095000</v>
      </c>
      <c r="D68" s="9">
        <f>SUMIFS('05 Invoices &amp; lines'!$O$50:$O$114,'05 Invoices &amp; lines'!$F$50:$F$114,B68)</f>
        <v>0</v>
      </c>
      <c r="E68" s="9">
        <f>SUMIFS('05 Invoices &amp; lines'!$P$50:$P$114,'05 Invoices &amp; lines'!$F$50:$F$114,B68)</f>
        <v>0</v>
      </c>
      <c r="F68" s="9">
        <f>SUMIFS('05 Invoices &amp; lines'!$Q$50:$Q$114,'05 Invoices &amp; lines'!$F$50:$F$114,B68)</f>
        <v>0</v>
      </c>
      <c r="G68" s="8">
        <f>COUNTIF('05 Invoices &amp; lines'!$F$50:$F$114,B68)</f>
        <v>6</v>
      </c>
    </row>
    <row r="69" spans="2:7" x14ac:dyDescent="0.3">
      <c r="B69" s="12" t="s">
        <v>283</v>
      </c>
      <c r="C69" s="13">
        <f>SUMIFS('05 Invoices &amp; lines'!$N$50:$N$114,'05 Invoices &amp; lines'!$F$50:$F$114,B69)</f>
        <v>55000</v>
      </c>
      <c r="D69" s="13">
        <f>SUMIFS('05 Invoices &amp; lines'!$O$50:$O$114,'05 Invoices &amp; lines'!$F$50:$F$114,B69)</f>
        <v>0</v>
      </c>
      <c r="E69" s="13">
        <f>SUMIFS('05 Invoices &amp; lines'!$P$50:$P$114,'05 Invoices &amp; lines'!$F$50:$F$114,B69)</f>
        <v>0</v>
      </c>
      <c r="F69" s="13">
        <f>SUMIFS('05 Invoices &amp; lines'!$Q$50:$Q$114,'05 Invoices &amp; lines'!$F$50:$F$114,B69)</f>
        <v>0</v>
      </c>
      <c r="G69" s="12">
        <f>COUNTIF('05 Invoices &amp; lines'!$F$50:$F$114,B69)</f>
        <v>3</v>
      </c>
    </row>
    <row r="70" spans="2:7" x14ac:dyDescent="0.3">
      <c r="B70" s="8" t="s">
        <v>285</v>
      </c>
      <c r="C70" s="9">
        <f>SUMIFS('05 Invoices &amp; lines'!$N$50:$N$114,'05 Invoices &amp; lines'!$F$50:$F$114,B70)</f>
        <v>255400</v>
      </c>
      <c r="D70" s="9">
        <f>SUMIFS('05 Invoices &amp; lines'!$O$50:$O$114,'05 Invoices &amp; lines'!$F$50:$F$114,B70)</f>
        <v>63850</v>
      </c>
      <c r="E70" s="9">
        <f>SUMIFS('05 Invoices &amp; lines'!$P$50:$P$114,'05 Invoices &amp; lines'!$F$50:$F$114,B70)</f>
        <v>0</v>
      </c>
      <c r="F70" s="9">
        <f>SUMIFS('05 Invoices &amp; lines'!$Q$50:$Q$114,'05 Invoices &amp; lines'!$F$50:$F$114,B70)</f>
        <v>63850</v>
      </c>
      <c r="G70" s="8">
        <f>COUNTIF('05 Invoices &amp; lines'!$F$50:$F$114,B70)</f>
        <v>28</v>
      </c>
    </row>
    <row r="71" spans="2:7" x14ac:dyDescent="0.3">
      <c r="B71" s="12" t="s">
        <v>289</v>
      </c>
      <c r="C71" s="13">
        <f>SUMIFS('05 Invoices &amp; lines'!$N$50:$N$114,'05 Invoices &amp; lines'!$F$50:$F$114,B71)</f>
        <v>43200</v>
      </c>
      <c r="D71" s="13">
        <f>SUMIFS('05 Invoices &amp; lines'!$O$50:$O$114,'05 Invoices &amp; lines'!$F$50:$F$114,B71)</f>
        <v>0</v>
      </c>
      <c r="E71" s="13">
        <f>SUMIFS('05 Invoices &amp; lines'!$P$50:$P$114,'05 Invoices &amp; lines'!$F$50:$F$114,B71)</f>
        <v>10800</v>
      </c>
      <c r="F71" s="13">
        <f>SUMIFS('05 Invoices &amp; lines'!$Q$50:$Q$114,'05 Invoices &amp; lines'!$F$50:$F$114,B71)</f>
        <v>10800</v>
      </c>
      <c r="G71" s="12">
        <f>COUNTIF('05 Invoices &amp; lines'!$F$50:$F$114,B71)</f>
        <v>1</v>
      </c>
    </row>
    <row r="72" spans="2:7" x14ac:dyDescent="0.3">
      <c r="B72" s="8" t="s">
        <v>294</v>
      </c>
      <c r="C72" s="9">
        <f>SUMIFS('05 Invoices &amp; lines'!$N$50:$N$114,'05 Invoices &amp; lines'!$F$50:$F$114,B72)</f>
        <v>20800</v>
      </c>
      <c r="D72" s="9">
        <f>SUMIFS('05 Invoices &amp; lines'!$O$50:$O$114,'05 Invoices &amp; lines'!$F$50:$F$114,B72)</f>
        <v>0</v>
      </c>
      <c r="E72" s="9">
        <f>SUMIFS('05 Invoices &amp; lines'!$P$50:$P$114,'05 Invoices &amp; lines'!$F$50:$F$114,B72)</f>
        <v>5200</v>
      </c>
      <c r="F72" s="9">
        <f>SUMIFS('05 Invoices &amp; lines'!$Q$50:$Q$114,'05 Invoices &amp; lines'!$F$50:$F$114,B72)</f>
        <v>5200</v>
      </c>
      <c r="G72" s="8">
        <f>COUNTIF('05 Invoices &amp; lines'!$F$50:$F$114,B72)</f>
        <v>1</v>
      </c>
    </row>
    <row r="73" spans="2:7" x14ac:dyDescent="0.3">
      <c r="B73" s="12" t="s">
        <v>298</v>
      </c>
      <c r="C73" s="13">
        <f>SUMIFS('05 Invoices &amp; lines'!$N$50:$N$114,'05 Invoices &amp; lines'!$F$50:$F$114,B73)</f>
        <v>9600</v>
      </c>
      <c r="D73" s="13">
        <f>SUMIFS('05 Invoices &amp; lines'!$O$50:$O$114,'05 Invoices &amp; lines'!$F$50:$F$114,B73)</f>
        <v>0</v>
      </c>
      <c r="E73" s="13">
        <f>SUMIFS('05 Invoices &amp; lines'!$P$50:$P$114,'05 Invoices &amp; lines'!$F$50:$F$114,B73)</f>
        <v>2400</v>
      </c>
      <c r="F73" s="13">
        <f>SUMIFS('05 Invoices &amp; lines'!$Q$50:$Q$114,'05 Invoices &amp; lines'!$F$50:$F$114,B73)</f>
        <v>2400</v>
      </c>
      <c r="G73" s="12">
        <f>COUNTIF('05 Invoices &amp; lines'!$F$50:$F$114,B73)</f>
        <v>1</v>
      </c>
    </row>
    <row r="74" spans="2:7" x14ac:dyDescent="0.3">
      <c r="B74" s="32" t="s">
        <v>307</v>
      </c>
      <c r="C74" s="33">
        <f>SUM(C66:C73)</f>
        <v>2824000</v>
      </c>
      <c r="D74" s="33">
        <f>SUM(D66:D73)</f>
        <v>392500</v>
      </c>
      <c r="E74" s="33">
        <f>SUM(E66:E73)</f>
        <v>18400</v>
      </c>
      <c r="F74" s="33">
        <f>SUM(F66:F73)</f>
        <v>82250</v>
      </c>
      <c r="G74" s="34">
        <f>SUM(G66:G73)</f>
        <v>65</v>
      </c>
    </row>
  </sheetData>
  <mergeCells count="2">
    <mergeCell ref="B52:G52"/>
    <mergeCell ref="B35:G35"/>
  </mergeCells>
  <conditionalFormatting sqref="F22:F33">
    <cfRule type="expression" dxfId="25" priority="1">
      <formula>ABS(F22)&lt;0.01</formula>
    </cfRule>
    <cfRule type="expression" dxfId="24" priority="2">
      <formula>ABS(F22)&gt;=0.01</formula>
    </cfRule>
  </conditionalFormatting>
  <hyperlinks>
    <hyperlink ref="I1" location="'00 Summary'!B2" display="← Summary" xr:uid="{00000000-0004-0000-0300-000000000000}"/>
    <hyperlink ref="D5" location="'03 VAT return'!B54" display="→ tax codes behind these boxes" xr:uid="{00000000-0004-0000-0300-000001000000}"/>
  </hyperlinks>
  <pageMargins left="0.75" right="0.75" top="1" bottom="1" header="0.5" footer="0.5"/>
  <pageSetup fitToHeight="0" orientation="landscape"/>
  <headerFooter>
    <oddFooter>&amp;LVatli sample · v5 · built 2026-09-24&amp;R&amp;A · page &amp;P of &amp;N</oddFooter>
  </headerFooter>
  <tableParts count="5">
    <tablePart r:id="rId1"/>
    <tablePart r:id="rId2"/>
    <tablePart r:id="rId3"/>
    <tablePart r:id="rId4"/>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I54"/>
  <sheetViews>
    <sheetView showGridLines="0" workbookViewId="0">
      <pane xSplit="1" ySplit="4" topLeftCell="B5" activePane="bottomRight" state="frozen"/>
      <selection pane="topRight"/>
      <selection pane="bottomLeft"/>
      <selection pane="bottomRight"/>
    </sheetView>
  </sheetViews>
  <sheetFormatPr defaultRowHeight="14.4" x14ac:dyDescent="0.3"/>
  <cols>
    <col min="1" max="1" width="2" customWidth="1"/>
    <col min="2" max="2" width="24" customWidth="1"/>
    <col min="3" max="3" width="40" customWidth="1"/>
    <col min="4" max="6" width="16" customWidth="1"/>
    <col min="7" max="7" width="36" customWidth="1"/>
    <col min="8" max="8" width="20" customWidth="1"/>
  </cols>
  <sheetData>
    <row r="1" spans="2:9" x14ac:dyDescent="0.3">
      <c r="B1" s="1" t="s">
        <v>0</v>
      </c>
      <c r="I1" s="21" t="s">
        <v>97</v>
      </c>
    </row>
    <row r="2" spans="2:9" ht="21" x14ac:dyDescent="0.4">
      <c r="B2" s="2" t="s">
        <v>308</v>
      </c>
    </row>
    <row r="3" spans="2:9" x14ac:dyDescent="0.3">
      <c r="B3" s="3" t="s">
        <v>309</v>
      </c>
    </row>
    <row r="5" spans="2:9" x14ac:dyDescent="0.3">
      <c r="B5" s="6" t="s">
        <v>310</v>
      </c>
    </row>
    <row r="6" spans="2:9" x14ac:dyDescent="0.3">
      <c r="B6" s="7" t="s">
        <v>311</v>
      </c>
      <c r="C6" s="7" t="s">
        <v>72</v>
      </c>
      <c r="D6" s="7" t="s">
        <v>312</v>
      </c>
      <c r="E6" s="7" t="s">
        <v>313</v>
      </c>
      <c r="F6" s="7" t="s">
        <v>314</v>
      </c>
      <c r="G6" s="7" t="s">
        <v>315</v>
      </c>
      <c r="H6" s="7" t="s">
        <v>22</v>
      </c>
    </row>
    <row r="7" spans="2:9" x14ac:dyDescent="0.3">
      <c r="B7" s="8" t="s">
        <v>275</v>
      </c>
      <c r="C7" s="8" t="s">
        <v>316</v>
      </c>
      <c r="D7" s="9">
        <v>0</v>
      </c>
      <c r="E7" s="9">
        <v>0</v>
      </c>
      <c r="F7" s="9">
        <v>1345000</v>
      </c>
      <c r="G7" s="9">
        <f t="shared" ref="G7:G23" si="0">D7+E7-F7</f>
        <v>-1345000</v>
      </c>
      <c r="H7" s="8" t="s">
        <v>31</v>
      </c>
    </row>
    <row r="8" spans="2:9" x14ac:dyDescent="0.3">
      <c r="B8" s="12" t="s">
        <v>279</v>
      </c>
      <c r="C8" s="12" t="s">
        <v>317</v>
      </c>
      <c r="D8" s="13">
        <v>0</v>
      </c>
      <c r="E8" s="13">
        <v>0</v>
      </c>
      <c r="F8" s="13">
        <v>0</v>
      </c>
      <c r="G8" s="13">
        <f t="shared" si="0"/>
        <v>0</v>
      </c>
      <c r="H8" s="12" t="s">
        <v>31</v>
      </c>
    </row>
    <row r="9" spans="2:9" x14ac:dyDescent="0.3">
      <c r="B9" s="8" t="s">
        <v>282</v>
      </c>
      <c r="C9" s="8" t="s">
        <v>318</v>
      </c>
      <c r="D9" s="9">
        <v>0</v>
      </c>
      <c r="E9" s="9">
        <v>0</v>
      </c>
      <c r="F9" s="9">
        <v>1095000</v>
      </c>
      <c r="G9" s="9">
        <f t="shared" si="0"/>
        <v>-1095000</v>
      </c>
      <c r="H9" s="8" t="s">
        <v>47</v>
      </c>
    </row>
    <row r="10" spans="2:9" x14ac:dyDescent="0.3">
      <c r="B10" s="12" t="s">
        <v>284</v>
      </c>
      <c r="C10" s="12" t="s">
        <v>319</v>
      </c>
      <c r="D10" s="13">
        <v>0</v>
      </c>
      <c r="E10" s="13">
        <v>0</v>
      </c>
      <c r="F10" s="13">
        <v>55000</v>
      </c>
      <c r="G10" s="13">
        <f t="shared" si="0"/>
        <v>-55000</v>
      </c>
      <c r="H10" s="12" t="s">
        <v>49</v>
      </c>
    </row>
    <row r="11" spans="2:9" x14ac:dyDescent="0.3">
      <c r="B11" s="8" t="s">
        <v>288</v>
      </c>
      <c r="C11" s="8" t="s">
        <v>320</v>
      </c>
      <c r="D11" s="9">
        <v>0</v>
      </c>
      <c r="E11" s="9">
        <v>255400</v>
      </c>
      <c r="F11" s="9">
        <v>0</v>
      </c>
      <c r="G11" s="9">
        <f t="shared" si="0"/>
        <v>255400</v>
      </c>
      <c r="H11" s="8" t="s">
        <v>77</v>
      </c>
    </row>
    <row r="12" spans="2:9" x14ac:dyDescent="0.3">
      <c r="B12" s="12" t="s">
        <v>301</v>
      </c>
      <c r="C12" s="12" t="s">
        <v>40</v>
      </c>
      <c r="D12" s="13">
        <v>0</v>
      </c>
      <c r="E12" s="13">
        <v>9600</v>
      </c>
      <c r="F12" s="13">
        <v>0</v>
      </c>
      <c r="G12" s="13">
        <f t="shared" si="0"/>
        <v>9600</v>
      </c>
      <c r="H12" s="12" t="s">
        <v>39</v>
      </c>
    </row>
    <row r="13" spans="2:9" x14ac:dyDescent="0.3">
      <c r="B13" s="8" t="s">
        <v>297</v>
      </c>
      <c r="C13" s="8" t="s">
        <v>321</v>
      </c>
      <c r="D13" s="9">
        <v>0</v>
      </c>
      <c r="E13" s="9">
        <v>20800</v>
      </c>
      <c r="F13" s="9">
        <v>0</v>
      </c>
      <c r="G13" s="9">
        <f t="shared" si="0"/>
        <v>20800</v>
      </c>
      <c r="H13" s="8" t="s">
        <v>43</v>
      </c>
    </row>
    <row r="14" spans="2:9" x14ac:dyDescent="0.3">
      <c r="B14" s="12" t="s">
        <v>293</v>
      </c>
      <c r="C14" s="12" t="s">
        <v>322</v>
      </c>
      <c r="D14" s="13">
        <v>0</v>
      </c>
      <c r="E14" s="13">
        <v>43200</v>
      </c>
      <c r="F14" s="13">
        <v>0</v>
      </c>
      <c r="G14" s="13">
        <f t="shared" si="0"/>
        <v>43200</v>
      </c>
      <c r="H14" s="12" t="s">
        <v>41</v>
      </c>
    </row>
    <row r="15" spans="2:9" x14ac:dyDescent="0.3">
      <c r="B15" s="8" t="s">
        <v>323</v>
      </c>
      <c r="C15" s="8" t="s">
        <v>324</v>
      </c>
      <c r="D15" s="9">
        <v>0</v>
      </c>
      <c r="E15" s="9">
        <v>0</v>
      </c>
      <c r="F15" s="9">
        <v>328650</v>
      </c>
      <c r="G15" s="9">
        <f t="shared" si="0"/>
        <v>-328650</v>
      </c>
      <c r="H15" s="8" t="s">
        <v>33</v>
      </c>
    </row>
    <row r="16" spans="2:9" x14ac:dyDescent="0.3">
      <c r="B16" s="12" t="s">
        <v>325</v>
      </c>
      <c r="C16" s="12" t="s">
        <v>326</v>
      </c>
      <c r="D16" s="13">
        <v>0</v>
      </c>
      <c r="E16" s="13">
        <v>0</v>
      </c>
      <c r="F16" s="13">
        <v>0</v>
      </c>
      <c r="G16" s="13">
        <f t="shared" si="0"/>
        <v>0</v>
      </c>
      <c r="H16" s="12" t="s">
        <v>35</v>
      </c>
    </row>
    <row r="17" spans="2:8" x14ac:dyDescent="0.3">
      <c r="B17" s="8" t="s">
        <v>327</v>
      </c>
      <c r="C17" s="8" t="s">
        <v>328</v>
      </c>
      <c r="D17" s="9">
        <v>0</v>
      </c>
      <c r="E17" s="9">
        <v>0</v>
      </c>
      <c r="F17" s="9">
        <v>0</v>
      </c>
      <c r="G17" s="9">
        <f t="shared" si="0"/>
        <v>0</v>
      </c>
      <c r="H17" s="8" t="s">
        <v>37</v>
      </c>
    </row>
    <row r="18" spans="2:8" x14ac:dyDescent="0.3">
      <c r="B18" s="12" t="s">
        <v>329</v>
      </c>
      <c r="C18" s="12" t="s">
        <v>330</v>
      </c>
      <c r="D18" s="13">
        <v>0</v>
      </c>
      <c r="E18" s="13">
        <v>0</v>
      </c>
      <c r="F18" s="13">
        <v>18400</v>
      </c>
      <c r="G18" s="13">
        <f t="shared" si="0"/>
        <v>-18400</v>
      </c>
      <c r="H18" s="12" t="s">
        <v>45</v>
      </c>
    </row>
    <row r="19" spans="2:8" x14ac:dyDescent="0.3">
      <c r="B19" s="8" t="s">
        <v>331</v>
      </c>
      <c r="C19" s="8" t="s">
        <v>332</v>
      </c>
      <c r="D19" s="9">
        <v>0</v>
      </c>
      <c r="E19" s="9">
        <v>63850</v>
      </c>
      <c r="F19" s="9">
        <v>0</v>
      </c>
      <c r="G19" s="9">
        <f t="shared" si="0"/>
        <v>63850</v>
      </c>
      <c r="H19" s="8" t="s">
        <v>51</v>
      </c>
    </row>
    <row r="20" spans="2:8" x14ac:dyDescent="0.3">
      <c r="B20" s="12" t="s">
        <v>333</v>
      </c>
      <c r="C20" s="12" t="s">
        <v>334</v>
      </c>
      <c r="D20" s="13">
        <v>0</v>
      </c>
      <c r="E20" s="13">
        <v>18400</v>
      </c>
      <c r="F20" s="13">
        <v>0</v>
      </c>
      <c r="G20" s="13">
        <f t="shared" si="0"/>
        <v>18400</v>
      </c>
      <c r="H20" s="12" t="s">
        <v>51</v>
      </c>
    </row>
    <row r="21" spans="2:8" x14ac:dyDescent="0.3">
      <c r="B21" s="8" t="s">
        <v>335</v>
      </c>
      <c r="C21" s="8" t="s">
        <v>336</v>
      </c>
      <c r="D21" s="9">
        <v>-465200</v>
      </c>
      <c r="E21" s="9">
        <v>226400</v>
      </c>
      <c r="F21" s="9">
        <v>0</v>
      </c>
      <c r="G21" s="9">
        <f t="shared" si="0"/>
        <v>-238800</v>
      </c>
      <c r="H21" s="8" t="s">
        <v>77</v>
      </c>
    </row>
    <row r="22" spans="2:8" x14ac:dyDescent="0.3">
      <c r="B22" s="12" t="s">
        <v>337</v>
      </c>
      <c r="C22" s="12" t="s">
        <v>338</v>
      </c>
      <c r="D22" s="13">
        <v>0</v>
      </c>
      <c r="E22" s="13">
        <v>226400</v>
      </c>
      <c r="F22" s="13">
        <v>226400</v>
      </c>
      <c r="G22" s="13">
        <f t="shared" si="0"/>
        <v>0</v>
      </c>
      <c r="H22" s="12" t="s">
        <v>77</v>
      </c>
    </row>
    <row r="23" spans="2:8" x14ac:dyDescent="0.3">
      <c r="B23" s="8" t="s">
        <v>339</v>
      </c>
      <c r="C23" s="8" t="s">
        <v>340</v>
      </c>
      <c r="D23" s="9">
        <v>0</v>
      </c>
      <c r="E23" s="9">
        <v>0</v>
      </c>
      <c r="F23" s="9">
        <v>226400</v>
      </c>
      <c r="G23" s="9">
        <f t="shared" si="0"/>
        <v>-226400</v>
      </c>
      <c r="H23" s="8" t="s">
        <v>77</v>
      </c>
    </row>
    <row r="25" spans="2:8" ht="28.05" customHeight="1" x14ac:dyDescent="0.3">
      <c r="B25" s="40" t="s">
        <v>341</v>
      </c>
      <c r="C25" s="41"/>
      <c r="D25" s="41"/>
      <c r="E25" s="41"/>
      <c r="F25" s="41"/>
      <c r="G25" s="41"/>
      <c r="H25" s="41"/>
    </row>
    <row r="27" spans="2:8" x14ac:dyDescent="0.3">
      <c r="B27" s="6" t="s">
        <v>342</v>
      </c>
    </row>
    <row r="28" spans="2:8" x14ac:dyDescent="0.3">
      <c r="B28" s="7" t="s">
        <v>9</v>
      </c>
      <c r="C28" s="7" t="s">
        <v>343</v>
      </c>
      <c r="D28" s="7" t="s">
        <v>344</v>
      </c>
      <c r="E28" s="7" t="s">
        <v>345</v>
      </c>
      <c r="F28" s="7" t="s">
        <v>17</v>
      </c>
    </row>
    <row r="29" spans="2:8" x14ac:dyDescent="0.3">
      <c r="B29" s="8" t="s">
        <v>346</v>
      </c>
      <c r="C29" s="9">
        <v>226400</v>
      </c>
      <c r="D29" s="18">
        <v>46093</v>
      </c>
      <c r="E29" s="18">
        <v>46093</v>
      </c>
      <c r="F29" s="8" t="s">
        <v>345</v>
      </c>
    </row>
    <row r="30" spans="2:8" x14ac:dyDescent="0.3">
      <c r="B30" s="12" t="s">
        <v>347</v>
      </c>
      <c r="C30" s="13">
        <v>238800</v>
      </c>
      <c r="D30" s="19">
        <v>46125</v>
      </c>
      <c r="E30" s="19"/>
      <c r="F30" s="12" t="s">
        <v>110</v>
      </c>
    </row>
    <row r="32" spans="2:8" x14ac:dyDescent="0.3">
      <c r="B32" s="6" t="s">
        <v>348</v>
      </c>
    </row>
    <row r="33" spans="2:8" x14ac:dyDescent="0.3">
      <c r="B33" s="7" t="s">
        <v>28</v>
      </c>
      <c r="C33" s="7" t="s">
        <v>119</v>
      </c>
      <c r="D33" s="7" t="s">
        <v>265</v>
      </c>
      <c r="E33" s="7" t="s">
        <v>349</v>
      </c>
      <c r="F33" s="7" t="s">
        <v>58</v>
      </c>
      <c r="G33" s="7" t="s">
        <v>350</v>
      </c>
      <c r="H33" s="7" t="s">
        <v>123</v>
      </c>
    </row>
    <row r="34" spans="2:8" x14ac:dyDescent="0.3">
      <c r="B34" s="10">
        <f t="shared" ref="B34:B45" si="1">ROUND(D34-E34,2)</f>
        <v>2400</v>
      </c>
      <c r="C34" s="8" t="s">
        <v>324</v>
      </c>
      <c r="D34" s="9">
        <f>-G15</f>
        <v>328650</v>
      </c>
      <c r="E34" s="9">
        <f>'03 VAT return'!$F$8</f>
        <v>326250</v>
      </c>
      <c r="F34" s="8" t="s">
        <v>63</v>
      </c>
      <c r="G34" s="22" t="s">
        <v>351</v>
      </c>
      <c r="H34" s="8" t="s">
        <v>134</v>
      </c>
    </row>
    <row r="35" spans="2:8" x14ac:dyDescent="0.3">
      <c r="B35" s="14">
        <f t="shared" si="1"/>
        <v>-2400</v>
      </c>
      <c r="C35" s="12" t="s">
        <v>328</v>
      </c>
      <c r="D35" s="13">
        <f>-G17</f>
        <v>0</v>
      </c>
      <c r="E35" s="13">
        <f>'03 VAT return'!$F$10</f>
        <v>2400</v>
      </c>
      <c r="F35" s="12" t="s">
        <v>63</v>
      </c>
      <c r="G35" s="23" t="s">
        <v>352</v>
      </c>
      <c r="H35" s="12" t="s">
        <v>134</v>
      </c>
    </row>
    <row r="36" spans="2:8" x14ac:dyDescent="0.3">
      <c r="B36" s="10">
        <f t="shared" si="1"/>
        <v>0</v>
      </c>
      <c r="C36" s="8" t="s">
        <v>353</v>
      </c>
      <c r="D36" s="9">
        <f>-(G15+G16+G17)</f>
        <v>328650</v>
      </c>
      <c r="E36" s="9">
        <f>'03 VAT return'!$F$8+'03 VAT return'!$F$9+'03 VAT return'!$F$10</f>
        <v>328650</v>
      </c>
      <c r="F36" s="8"/>
      <c r="G36" s="22" t="s">
        <v>354</v>
      </c>
      <c r="H36" s="8" t="s">
        <v>134</v>
      </c>
    </row>
    <row r="37" spans="2:8" x14ac:dyDescent="0.3">
      <c r="B37" s="14">
        <f t="shared" si="1"/>
        <v>0</v>
      </c>
      <c r="C37" s="12" t="s">
        <v>355</v>
      </c>
      <c r="D37" s="13">
        <f>-G18</f>
        <v>18400</v>
      </c>
      <c r="E37" s="13">
        <f>'03 VAT return'!$F$14</f>
        <v>18400</v>
      </c>
      <c r="F37" s="12"/>
      <c r="G37" s="23" t="s">
        <v>356</v>
      </c>
      <c r="H37" s="12" t="s">
        <v>134</v>
      </c>
    </row>
    <row r="38" spans="2:8" x14ac:dyDescent="0.3">
      <c r="B38" s="10">
        <f t="shared" si="1"/>
        <v>0</v>
      </c>
      <c r="C38" s="8" t="s">
        <v>52</v>
      </c>
      <c r="D38" s="9">
        <f>G19+G20</f>
        <v>82250</v>
      </c>
      <c r="E38" s="9">
        <f>'03 VAT return'!$F$17</f>
        <v>82250</v>
      </c>
      <c r="F38" s="8"/>
      <c r="G38" s="22" t="s">
        <v>203</v>
      </c>
      <c r="H38" s="8" t="s">
        <v>134</v>
      </c>
    </row>
    <row r="39" spans="2:8" x14ac:dyDescent="0.3">
      <c r="B39" s="14">
        <f t="shared" si="1"/>
        <v>0</v>
      </c>
      <c r="C39" s="12" t="s">
        <v>54</v>
      </c>
      <c r="D39" s="13">
        <f>-(G15+G16+G17)-G18-G19-G20</f>
        <v>264800</v>
      </c>
      <c r="E39" s="13">
        <f>'03 VAT return'!$F$18</f>
        <v>264800</v>
      </c>
      <c r="F39" s="12"/>
      <c r="G39" s="23" t="s">
        <v>357</v>
      </c>
      <c r="H39" s="12" t="s">
        <v>134</v>
      </c>
    </row>
    <row r="40" spans="2:8" ht="27.6" x14ac:dyDescent="0.3">
      <c r="B40" s="10">
        <f t="shared" si="1"/>
        <v>7600</v>
      </c>
      <c r="C40" s="8" t="s">
        <v>358</v>
      </c>
      <c r="D40" s="9">
        <f>-G7*0.25-G8*0.06</f>
        <v>336250</v>
      </c>
      <c r="E40" s="9">
        <f>-(G15+G17)</f>
        <v>328650</v>
      </c>
      <c r="F40" s="8" t="s">
        <v>63</v>
      </c>
      <c r="G40" s="22" t="s">
        <v>359</v>
      </c>
      <c r="H40" s="8" t="s">
        <v>127</v>
      </c>
    </row>
    <row r="41" spans="2:8" x14ac:dyDescent="0.3">
      <c r="B41" s="14">
        <f t="shared" si="1"/>
        <v>0</v>
      </c>
      <c r="C41" s="12" t="s">
        <v>360</v>
      </c>
      <c r="D41" s="13">
        <f>-(G7+G8+G9+G10)</f>
        <v>2495000</v>
      </c>
      <c r="E41" s="13">
        <f>'03 VAT return'!$F$7+'03 VAT return'!$F$15+'03 VAT return'!$F$16</f>
        <v>2495000</v>
      </c>
      <c r="F41" s="12"/>
      <c r="G41" s="23" t="s">
        <v>361</v>
      </c>
      <c r="H41" s="12" t="s">
        <v>134</v>
      </c>
    </row>
    <row r="42" spans="2:8" x14ac:dyDescent="0.3">
      <c r="B42" s="10">
        <f t="shared" si="1"/>
        <v>0</v>
      </c>
      <c r="C42" s="8" t="s">
        <v>362</v>
      </c>
      <c r="D42" s="9">
        <f>G12+G13+G14</f>
        <v>73600</v>
      </c>
      <c r="E42" s="9">
        <f>'03 VAT return'!$F$11+'03 VAT return'!$F$12+'03 VAT return'!$F$13</f>
        <v>73600</v>
      </c>
      <c r="F42" s="8"/>
      <c r="G42" s="22" t="s">
        <v>363</v>
      </c>
      <c r="H42" s="8" t="s">
        <v>134</v>
      </c>
    </row>
    <row r="43" spans="2:8" x14ac:dyDescent="0.3">
      <c r="B43" s="14">
        <f t="shared" si="1"/>
        <v>0</v>
      </c>
      <c r="C43" s="12" t="s">
        <v>364</v>
      </c>
      <c r="D43" s="13">
        <f>-(G15+G16+G17)-G18-G19-G20</f>
        <v>264800</v>
      </c>
      <c r="E43" s="13">
        <f>SUMIFS('05 Invoices &amp; lines'!$O$50:$O$114,'05 Invoices &amp; lines'!$C$50:$C$114,"AR*")+SUM('05 Invoices &amp; lines'!$P$50:$P$114)-SUM('05 Invoices &amp; lines'!$Q$50:$Q$114)</f>
        <v>264800</v>
      </c>
      <c r="F43" s="12"/>
      <c r="G43" s="23" t="s">
        <v>365</v>
      </c>
      <c r="H43" s="12" t="s">
        <v>134</v>
      </c>
    </row>
    <row r="44" spans="2:8" x14ac:dyDescent="0.3">
      <c r="B44" s="10">
        <f t="shared" si="1"/>
        <v>0</v>
      </c>
      <c r="C44" s="8" t="s">
        <v>366</v>
      </c>
      <c r="D44" s="9">
        <f>-G21</f>
        <v>238800</v>
      </c>
      <c r="E44" s="9">
        <f>C30</f>
        <v>238800</v>
      </c>
      <c r="F44" s="8"/>
      <c r="G44" s="22" t="s">
        <v>367</v>
      </c>
      <c r="H44" s="8" t="s">
        <v>134</v>
      </c>
    </row>
    <row r="45" spans="2:8" x14ac:dyDescent="0.3">
      <c r="B45" s="14">
        <f t="shared" si="1"/>
        <v>0</v>
      </c>
      <c r="C45" s="12" t="s">
        <v>368</v>
      </c>
      <c r="D45" s="13">
        <f>E21</f>
        <v>226400</v>
      </c>
      <c r="E45" s="13">
        <f>C29</f>
        <v>226400</v>
      </c>
      <c r="F45" s="12"/>
      <c r="G45" s="23" t="s">
        <v>369</v>
      </c>
      <c r="H45" s="12" t="s">
        <v>134</v>
      </c>
    </row>
    <row r="47" spans="2:8" ht="13.95" customHeight="1" x14ac:dyDescent="0.3">
      <c r="B47" s="40" t="s">
        <v>370</v>
      </c>
      <c r="C47" s="41"/>
      <c r="D47" s="41"/>
      <c r="E47" s="41"/>
      <c r="F47" s="41"/>
      <c r="G47" s="41"/>
      <c r="H47" s="41"/>
    </row>
    <row r="49" spans="2:8" x14ac:dyDescent="0.3">
      <c r="B49" s="6" t="s">
        <v>371</v>
      </c>
    </row>
    <row r="50" spans="2:8" x14ac:dyDescent="0.3">
      <c r="B50" s="7" t="s">
        <v>313</v>
      </c>
      <c r="C50" s="7" t="s">
        <v>314</v>
      </c>
      <c r="D50" s="7" t="s">
        <v>372</v>
      </c>
      <c r="E50" s="7" t="s">
        <v>373</v>
      </c>
    </row>
    <row r="51" spans="2:8" x14ac:dyDescent="0.3">
      <c r="B51" s="8" t="s">
        <v>374</v>
      </c>
      <c r="C51" s="8" t="s">
        <v>375</v>
      </c>
      <c r="D51" s="9">
        <v>40000</v>
      </c>
      <c r="E51" s="8" t="s">
        <v>376</v>
      </c>
    </row>
    <row r="52" spans="2:8" x14ac:dyDescent="0.3">
      <c r="B52" s="12" t="s">
        <v>377</v>
      </c>
      <c r="C52" s="12" t="s">
        <v>378</v>
      </c>
      <c r="D52" s="13">
        <v>2400</v>
      </c>
      <c r="E52" s="12" t="s">
        <v>379</v>
      </c>
    </row>
    <row r="54" spans="2:8" ht="28.05" customHeight="1" x14ac:dyDescent="0.3">
      <c r="B54" s="40" t="s">
        <v>380</v>
      </c>
      <c r="C54" s="41"/>
      <c r="D54" s="41"/>
      <c r="E54" s="41"/>
      <c r="F54" s="41"/>
      <c r="G54" s="41"/>
      <c r="H54" s="41"/>
    </row>
  </sheetData>
  <mergeCells count="3">
    <mergeCell ref="B47:H47"/>
    <mergeCell ref="B54:H54"/>
    <mergeCell ref="B25:H25"/>
  </mergeCells>
  <conditionalFormatting sqref="B34:B45">
    <cfRule type="expression" dxfId="23" priority="7">
      <formula>ABS(B34)&lt;0.01</formula>
    </cfRule>
    <cfRule type="expression" dxfId="22" priority="8">
      <formula>ABS(B34)&gt;=0.01</formula>
    </cfRule>
  </conditionalFormatting>
  <conditionalFormatting sqref="F29:F30">
    <cfRule type="cellIs" dxfId="21" priority="1" operator="equal">
      <formula>"Present"</formula>
    </cfRule>
    <cfRule type="cellIs" dxfId="20" priority="2" operator="equal">
      <formula>"Resolved"</formula>
    </cfRule>
    <cfRule type="cellIs" dxfId="19" priority="3" operator="equal">
      <formula>"Approved"</formula>
    </cfRule>
    <cfRule type="cellIs" dxfId="18" priority="4" operator="equal">
      <formula>"Paid"</formula>
    </cfRule>
    <cfRule type="cellIs" dxfId="17" priority="5" operator="equal">
      <formula>"Missing"</formula>
    </cfRule>
    <cfRule type="cellIs" dxfId="16" priority="6" operator="equal">
      <formula>"Open"</formula>
    </cfRule>
  </conditionalFormatting>
  <hyperlinks>
    <hyperlink ref="I1" location="'00 Summary'!B2" display="← Summary" xr:uid="{00000000-0004-0000-0400-000000000000}"/>
  </hyperlinks>
  <pageMargins left="0.75" right="0.75" top="1" bottom="1" header="0.5" footer="0.5"/>
  <pageSetup fitToHeight="0" orientation="landscape"/>
  <headerFooter>
    <oddFooter>&amp;LVatli sample · v5 · built 2026-09-24&amp;R&amp;A · page &amp;P of &amp;N</oddFooter>
  </headerFooter>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U127"/>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2" customWidth="1"/>
    <col min="2" max="2" width="24" customWidth="1"/>
    <col min="3" max="3" width="17" customWidth="1"/>
    <col min="4" max="4" width="26" customWidth="1"/>
    <col min="5" max="5" width="30" customWidth="1"/>
    <col min="6" max="6" width="15" customWidth="1"/>
    <col min="7" max="7" width="11" customWidth="1"/>
    <col min="8" max="8" width="9" customWidth="1"/>
    <col min="9" max="9" width="14" customWidth="1"/>
    <col min="10" max="10" width="13" customWidth="1"/>
    <col min="11" max="12" width="14" customWidth="1"/>
    <col min="13" max="13" width="13" customWidth="1"/>
    <col min="14" max="14" width="14" customWidth="1"/>
    <col min="15" max="15" width="15" customWidth="1"/>
    <col min="16" max="16" width="17" customWidth="1"/>
    <col min="17" max="17" width="18" customWidth="1"/>
    <col min="18" max="18" width="11" customWidth="1"/>
    <col min="19" max="19" width="10" customWidth="1"/>
    <col min="20" max="20" width="14" customWidth="1"/>
  </cols>
  <sheetData>
    <row r="1" spans="2:21" x14ac:dyDescent="0.3">
      <c r="B1" s="1" t="s">
        <v>0</v>
      </c>
      <c r="U1" s="21" t="s">
        <v>97</v>
      </c>
    </row>
    <row r="2" spans="2:21" ht="21" x14ac:dyDescent="0.4">
      <c r="B2" s="2" t="s">
        <v>381</v>
      </c>
    </row>
    <row r="3" spans="2:21" x14ac:dyDescent="0.3">
      <c r="B3" s="3" t="s">
        <v>382</v>
      </c>
    </row>
    <row r="5" spans="2:21" x14ac:dyDescent="0.3">
      <c r="B5" s="6" t="s">
        <v>383</v>
      </c>
    </row>
    <row r="6" spans="2:21" ht="27.6" x14ac:dyDescent="0.3">
      <c r="B6" s="7" t="s">
        <v>384</v>
      </c>
      <c r="C6" s="7" t="s">
        <v>385</v>
      </c>
      <c r="D6" s="7" t="s">
        <v>386</v>
      </c>
      <c r="E6" s="7" t="s">
        <v>387</v>
      </c>
      <c r="F6" s="7" t="s">
        <v>388</v>
      </c>
      <c r="G6" s="7" t="s">
        <v>389</v>
      </c>
      <c r="H6" s="7" t="s">
        <v>390</v>
      </c>
      <c r="I6" s="7" t="s">
        <v>391</v>
      </c>
      <c r="J6" s="7" t="s">
        <v>392</v>
      </c>
      <c r="K6" s="7" t="s">
        <v>393</v>
      </c>
      <c r="L6" s="7" t="s">
        <v>394</v>
      </c>
      <c r="M6" s="7" t="s">
        <v>395</v>
      </c>
      <c r="N6" s="7" t="s">
        <v>396</v>
      </c>
      <c r="O6" s="7" t="s">
        <v>304</v>
      </c>
      <c r="P6" s="7" t="s">
        <v>305</v>
      </c>
      <c r="Q6" s="7" t="s">
        <v>397</v>
      </c>
    </row>
    <row r="7" spans="2:21" x14ac:dyDescent="0.3">
      <c r="B7" s="8" t="s">
        <v>398</v>
      </c>
      <c r="C7" s="18">
        <v>46083</v>
      </c>
      <c r="D7" s="8" t="s">
        <v>399</v>
      </c>
      <c r="E7" s="8" t="s">
        <v>400</v>
      </c>
      <c r="F7" s="8" t="s">
        <v>401</v>
      </c>
      <c r="G7" s="8" t="s">
        <v>249</v>
      </c>
      <c r="H7" s="35">
        <v>1</v>
      </c>
      <c r="I7" s="9">
        <v>120000</v>
      </c>
      <c r="J7" s="9">
        <v>30000</v>
      </c>
      <c r="K7" s="9">
        <f t="shared" ref="K7:K45" si="0">I7+J7</f>
        <v>150000</v>
      </c>
      <c r="L7" s="9">
        <v>120000</v>
      </c>
      <c r="M7" s="9">
        <v>30000</v>
      </c>
      <c r="N7" s="9">
        <f t="shared" ref="N7:N45" si="1">L7+M7</f>
        <v>150000</v>
      </c>
      <c r="O7" s="9">
        <f t="shared" ref="O7:O45" si="2">SUMIFS($P$50:$P$114,$D$50:$D$114,B7)</f>
        <v>0</v>
      </c>
      <c r="P7" s="9">
        <f t="shared" ref="P7:P45" si="3">SUMIFS($Q$50:$Q$114,$D$50:$D$114,B7)</f>
        <v>0</v>
      </c>
      <c r="Q7" s="8" t="s">
        <v>402</v>
      </c>
    </row>
    <row r="8" spans="2:21" x14ac:dyDescent="0.3">
      <c r="B8" s="12" t="s">
        <v>403</v>
      </c>
      <c r="C8" s="19">
        <v>46085</v>
      </c>
      <c r="D8" s="12" t="s">
        <v>404</v>
      </c>
      <c r="E8" s="12" t="s">
        <v>400</v>
      </c>
      <c r="F8" s="12" t="s">
        <v>405</v>
      </c>
      <c r="G8" s="12" t="s">
        <v>249</v>
      </c>
      <c r="H8" s="36">
        <v>1</v>
      </c>
      <c r="I8" s="13">
        <v>85000</v>
      </c>
      <c r="J8" s="13">
        <v>21250</v>
      </c>
      <c r="K8" s="13">
        <f t="shared" si="0"/>
        <v>106250</v>
      </c>
      <c r="L8" s="13">
        <v>85000</v>
      </c>
      <c r="M8" s="13">
        <v>21250</v>
      </c>
      <c r="N8" s="13">
        <f t="shared" si="1"/>
        <v>106250</v>
      </c>
      <c r="O8" s="13">
        <f t="shared" si="2"/>
        <v>0</v>
      </c>
      <c r="P8" s="13">
        <f t="shared" si="3"/>
        <v>0</v>
      </c>
      <c r="Q8" s="12" t="s">
        <v>402</v>
      </c>
    </row>
    <row r="9" spans="2:21" x14ac:dyDescent="0.3">
      <c r="B9" s="8" t="s">
        <v>406</v>
      </c>
      <c r="C9" s="18">
        <v>46087</v>
      </c>
      <c r="D9" s="8" t="s">
        <v>407</v>
      </c>
      <c r="E9" s="8" t="s">
        <v>400</v>
      </c>
      <c r="F9" s="8" t="s">
        <v>408</v>
      </c>
      <c r="G9" s="8" t="s">
        <v>249</v>
      </c>
      <c r="H9" s="35">
        <v>1</v>
      </c>
      <c r="I9" s="9">
        <v>140000</v>
      </c>
      <c r="J9" s="9">
        <v>35000</v>
      </c>
      <c r="K9" s="9">
        <f t="shared" si="0"/>
        <v>175000</v>
      </c>
      <c r="L9" s="9">
        <v>140000</v>
      </c>
      <c r="M9" s="9">
        <v>35000</v>
      </c>
      <c r="N9" s="9">
        <f t="shared" si="1"/>
        <v>175000</v>
      </c>
      <c r="O9" s="9">
        <f t="shared" si="2"/>
        <v>0</v>
      </c>
      <c r="P9" s="9">
        <f t="shared" si="3"/>
        <v>0</v>
      </c>
      <c r="Q9" s="8" t="s">
        <v>402</v>
      </c>
    </row>
    <row r="10" spans="2:21" x14ac:dyDescent="0.3">
      <c r="B10" s="12" t="s">
        <v>409</v>
      </c>
      <c r="C10" s="19">
        <v>46089</v>
      </c>
      <c r="D10" s="12" t="s">
        <v>410</v>
      </c>
      <c r="E10" s="12" t="s">
        <v>400</v>
      </c>
      <c r="F10" s="12" t="s">
        <v>411</v>
      </c>
      <c r="G10" s="12" t="s">
        <v>249</v>
      </c>
      <c r="H10" s="36">
        <v>1</v>
      </c>
      <c r="I10" s="13">
        <v>96000</v>
      </c>
      <c r="J10" s="13">
        <v>24000</v>
      </c>
      <c r="K10" s="13">
        <f t="shared" si="0"/>
        <v>120000</v>
      </c>
      <c r="L10" s="13">
        <v>96000</v>
      </c>
      <c r="M10" s="13">
        <v>24000</v>
      </c>
      <c r="N10" s="13">
        <f t="shared" si="1"/>
        <v>120000</v>
      </c>
      <c r="O10" s="13">
        <f t="shared" si="2"/>
        <v>0</v>
      </c>
      <c r="P10" s="13">
        <f t="shared" si="3"/>
        <v>0</v>
      </c>
      <c r="Q10" s="12" t="s">
        <v>402</v>
      </c>
    </row>
    <row r="11" spans="2:21" x14ac:dyDescent="0.3">
      <c r="B11" s="8" t="s">
        <v>412</v>
      </c>
      <c r="C11" s="18">
        <v>46091</v>
      </c>
      <c r="D11" s="8" t="s">
        <v>413</v>
      </c>
      <c r="E11" s="8" t="s">
        <v>400</v>
      </c>
      <c r="F11" s="8" t="s">
        <v>414</v>
      </c>
      <c r="G11" s="8" t="s">
        <v>249</v>
      </c>
      <c r="H11" s="35">
        <v>1</v>
      </c>
      <c r="I11" s="9">
        <v>112000</v>
      </c>
      <c r="J11" s="9">
        <v>28000</v>
      </c>
      <c r="K11" s="9">
        <f t="shared" si="0"/>
        <v>140000</v>
      </c>
      <c r="L11" s="9">
        <v>112000</v>
      </c>
      <c r="M11" s="9">
        <v>28000</v>
      </c>
      <c r="N11" s="9">
        <f t="shared" si="1"/>
        <v>140000</v>
      </c>
      <c r="O11" s="9">
        <f t="shared" si="2"/>
        <v>0</v>
      </c>
      <c r="P11" s="9">
        <f t="shared" si="3"/>
        <v>0</v>
      </c>
      <c r="Q11" s="8" t="s">
        <v>402</v>
      </c>
    </row>
    <row r="12" spans="2:21" x14ac:dyDescent="0.3">
      <c r="B12" s="12" t="s">
        <v>415</v>
      </c>
      <c r="C12" s="19">
        <v>46093</v>
      </c>
      <c r="D12" s="12" t="s">
        <v>416</v>
      </c>
      <c r="E12" s="12" t="s">
        <v>400</v>
      </c>
      <c r="F12" s="12" t="s">
        <v>417</v>
      </c>
      <c r="G12" s="12" t="s">
        <v>249</v>
      </c>
      <c r="H12" s="36">
        <v>1</v>
      </c>
      <c r="I12" s="13">
        <v>75000</v>
      </c>
      <c r="J12" s="13">
        <v>18750</v>
      </c>
      <c r="K12" s="13">
        <f t="shared" si="0"/>
        <v>93750</v>
      </c>
      <c r="L12" s="13">
        <v>75000</v>
      </c>
      <c r="M12" s="13">
        <v>18750</v>
      </c>
      <c r="N12" s="13">
        <f t="shared" si="1"/>
        <v>93750</v>
      </c>
      <c r="O12" s="13">
        <f t="shared" si="2"/>
        <v>0</v>
      </c>
      <c r="P12" s="13">
        <f t="shared" si="3"/>
        <v>0</v>
      </c>
      <c r="Q12" s="12" t="s">
        <v>402</v>
      </c>
    </row>
    <row r="13" spans="2:21" x14ac:dyDescent="0.3">
      <c r="B13" s="8" t="s">
        <v>418</v>
      </c>
      <c r="C13" s="18">
        <v>46095</v>
      </c>
      <c r="D13" s="8" t="s">
        <v>399</v>
      </c>
      <c r="E13" s="8" t="s">
        <v>400</v>
      </c>
      <c r="F13" s="8" t="s">
        <v>401</v>
      </c>
      <c r="G13" s="8" t="s">
        <v>249</v>
      </c>
      <c r="H13" s="35">
        <v>1</v>
      </c>
      <c r="I13" s="9">
        <v>180000</v>
      </c>
      <c r="J13" s="9">
        <v>45000</v>
      </c>
      <c r="K13" s="9">
        <f t="shared" si="0"/>
        <v>225000</v>
      </c>
      <c r="L13" s="9">
        <v>180000</v>
      </c>
      <c r="M13" s="9">
        <v>45000</v>
      </c>
      <c r="N13" s="9">
        <f t="shared" si="1"/>
        <v>225000</v>
      </c>
      <c r="O13" s="9">
        <f t="shared" si="2"/>
        <v>0</v>
      </c>
      <c r="P13" s="9">
        <f t="shared" si="3"/>
        <v>0</v>
      </c>
      <c r="Q13" s="8" t="s">
        <v>402</v>
      </c>
    </row>
    <row r="14" spans="2:21" x14ac:dyDescent="0.3">
      <c r="B14" s="12" t="s">
        <v>419</v>
      </c>
      <c r="C14" s="19">
        <v>46097</v>
      </c>
      <c r="D14" s="12" t="s">
        <v>404</v>
      </c>
      <c r="E14" s="12" t="s">
        <v>400</v>
      </c>
      <c r="F14" s="12" t="s">
        <v>405</v>
      </c>
      <c r="G14" s="12" t="s">
        <v>249</v>
      </c>
      <c r="H14" s="36">
        <v>1</v>
      </c>
      <c r="I14" s="13">
        <v>65000</v>
      </c>
      <c r="J14" s="13">
        <v>16250</v>
      </c>
      <c r="K14" s="13">
        <f t="shared" si="0"/>
        <v>81250</v>
      </c>
      <c r="L14" s="13">
        <v>65000</v>
      </c>
      <c r="M14" s="13">
        <v>16250</v>
      </c>
      <c r="N14" s="13">
        <f t="shared" si="1"/>
        <v>81250</v>
      </c>
      <c r="O14" s="13">
        <f t="shared" si="2"/>
        <v>0</v>
      </c>
      <c r="P14" s="13">
        <f t="shared" si="3"/>
        <v>0</v>
      </c>
      <c r="Q14" s="12" t="s">
        <v>402</v>
      </c>
    </row>
    <row r="15" spans="2:21" x14ac:dyDescent="0.3">
      <c r="B15" s="8" t="s">
        <v>420</v>
      </c>
      <c r="C15" s="18">
        <v>46099</v>
      </c>
      <c r="D15" s="8" t="s">
        <v>407</v>
      </c>
      <c r="E15" s="8" t="s">
        <v>400</v>
      </c>
      <c r="F15" s="8" t="s">
        <v>408</v>
      </c>
      <c r="G15" s="8" t="s">
        <v>249</v>
      </c>
      <c r="H15" s="35">
        <v>1</v>
      </c>
      <c r="I15" s="9">
        <v>157000</v>
      </c>
      <c r="J15" s="9">
        <v>39250</v>
      </c>
      <c r="K15" s="9">
        <f t="shared" si="0"/>
        <v>196250</v>
      </c>
      <c r="L15" s="9">
        <v>157000</v>
      </c>
      <c r="M15" s="9">
        <v>39250</v>
      </c>
      <c r="N15" s="9">
        <f t="shared" si="1"/>
        <v>196250</v>
      </c>
      <c r="O15" s="9">
        <f t="shared" si="2"/>
        <v>0</v>
      </c>
      <c r="P15" s="9">
        <f t="shared" si="3"/>
        <v>0</v>
      </c>
      <c r="Q15" s="8" t="s">
        <v>402</v>
      </c>
    </row>
    <row r="16" spans="2:21" x14ac:dyDescent="0.3">
      <c r="B16" s="12" t="s">
        <v>421</v>
      </c>
      <c r="C16" s="19">
        <v>46101</v>
      </c>
      <c r="D16" s="12" t="s">
        <v>410</v>
      </c>
      <c r="E16" s="12" t="s">
        <v>400</v>
      </c>
      <c r="F16" s="12" t="s">
        <v>411</v>
      </c>
      <c r="G16" s="12" t="s">
        <v>249</v>
      </c>
      <c r="H16" s="36">
        <v>1</v>
      </c>
      <c r="I16" s="13">
        <v>95000</v>
      </c>
      <c r="J16" s="13">
        <v>23750</v>
      </c>
      <c r="K16" s="13">
        <f t="shared" si="0"/>
        <v>118750</v>
      </c>
      <c r="L16" s="13">
        <v>95000</v>
      </c>
      <c r="M16" s="13">
        <v>23750</v>
      </c>
      <c r="N16" s="13">
        <f t="shared" si="1"/>
        <v>118750</v>
      </c>
      <c r="O16" s="13">
        <f t="shared" si="2"/>
        <v>0</v>
      </c>
      <c r="P16" s="13">
        <f t="shared" si="3"/>
        <v>0</v>
      </c>
      <c r="Q16" s="12" t="s">
        <v>402</v>
      </c>
    </row>
    <row r="17" spans="2:17" x14ac:dyDescent="0.3">
      <c r="B17" s="8" t="s">
        <v>422</v>
      </c>
      <c r="C17" s="18">
        <v>46103</v>
      </c>
      <c r="D17" s="8" t="s">
        <v>413</v>
      </c>
      <c r="E17" s="8" t="s">
        <v>400</v>
      </c>
      <c r="F17" s="8" t="s">
        <v>414</v>
      </c>
      <c r="G17" s="8" t="s">
        <v>249</v>
      </c>
      <c r="H17" s="35">
        <v>1</v>
      </c>
      <c r="I17" s="9">
        <v>150000</v>
      </c>
      <c r="J17" s="9">
        <v>37500</v>
      </c>
      <c r="K17" s="9">
        <f t="shared" si="0"/>
        <v>187500</v>
      </c>
      <c r="L17" s="9">
        <v>150000</v>
      </c>
      <c r="M17" s="9">
        <v>37500</v>
      </c>
      <c r="N17" s="9">
        <f t="shared" si="1"/>
        <v>187500</v>
      </c>
      <c r="O17" s="9">
        <f t="shared" si="2"/>
        <v>0</v>
      </c>
      <c r="P17" s="9">
        <f t="shared" si="3"/>
        <v>0</v>
      </c>
      <c r="Q17" s="8" t="s">
        <v>402</v>
      </c>
    </row>
    <row r="18" spans="2:17" x14ac:dyDescent="0.3">
      <c r="B18" s="12" t="s">
        <v>423</v>
      </c>
      <c r="C18" s="19">
        <v>46105</v>
      </c>
      <c r="D18" s="12" t="s">
        <v>416</v>
      </c>
      <c r="E18" s="12" t="s">
        <v>400</v>
      </c>
      <c r="F18" s="12" t="s">
        <v>417</v>
      </c>
      <c r="G18" s="12" t="s">
        <v>249</v>
      </c>
      <c r="H18" s="36">
        <v>1</v>
      </c>
      <c r="I18" s="13">
        <v>-25000</v>
      </c>
      <c r="J18" s="13">
        <v>-6250</v>
      </c>
      <c r="K18" s="13">
        <f t="shared" si="0"/>
        <v>-31250</v>
      </c>
      <c r="L18" s="13">
        <v>-25000</v>
      </c>
      <c r="M18" s="13">
        <v>-6250</v>
      </c>
      <c r="N18" s="13">
        <f t="shared" si="1"/>
        <v>-31250</v>
      </c>
      <c r="O18" s="13">
        <f t="shared" si="2"/>
        <v>0</v>
      </c>
      <c r="P18" s="13">
        <f t="shared" si="3"/>
        <v>0</v>
      </c>
      <c r="Q18" s="12" t="s">
        <v>402</v>
      </c>
    </row>
    <row r="19" spans="2:17" x14ac:dyDescent="0.3">
      <c r="B19" s="8" t="s">
        <v>424</v>
      </c>
      <c r="C19" s="18">
        <v>46089</v>
      </c>
      <c r="D19" s="8" t="s">
        <v>425</v>
      </c>
      <c r="E19" s="8" t="s">
        <v>426</v>
      </c>
      <c r="F19" s="8" t="s">
        <v>427</v>
      </c>
      <c r="G19" s="8" t="s">
        <v>428</v>
      </c>
      <c r="H19" s="35">
        <v>10.8</v>
      </c>
      <c r="I19" s="9">
        <v>30000</v>
      </c>
      <c r="J19" s="9">
        <v>0</v>
      </c>
      <c r="K19" s="9">
        <f t="shared" si="0"/>
        <v>30000</v>
      </c>
      <c r="L19" s="9">
        <v>324000</v>
      </c>
      <c r="M19" s="9">
        <v>0</v>
      </c>
      <c r="N19" s="9">
        <f t="shared" si="1"/>
        <v>324000</v>
      </c>
      <c r="O19" s="9">
        <f t="shared" si="2"/>
        <v>0</v>
      </c>
      <c r="P19" s="9">
        <f t="shared" si="3"/>
        <v>0</v>
      </c>
      <c r="Q19" s="8" t="s">
        <v>402</v>
      </c>
    </row>
    <row r="20" spans="2:17" x14ac:dyDescent="0.3">
      <c r="B20" s="12" t="s">
        <v>429</v>
      </c>
      <c r="C20" s="19">
        <v>46091</v>
      </c>
      <c r="D20" s="12" t="s">
        <v>430</v>
      </c>
      <c r="E20" s="12" t="s">
        <v>426</v>
      </c>
      <c r="F20" s="12" t="s">
        <v>431</v>
      </c>
      <c r="G20" s="12" t="s">
        <v>249</v>
      </c>
      <c r="H20" s="36">
        <v>1</v>
      </c>
      <c r="I20" s="13">
        <v>306000</v>
      </c>
      <c r="J20" s="13">
        <v>0</v>
      </c>
      <c r="K20" s="13">
        <f t="shared" si="0"/>
        <v>306000</v>
      </c>
      <c r="L20" s="13">
        <v>306000</v>
      </c>
      <c r="M20" s="13">
        <v>0</v>
      </c>
      <c r="N20" s="13">
        <f t="shared" si="1"/>
        <v>306000</v>
      </c>
      <c r="O20" s="13">
        <f t="shared" si="2"/>
        <v>0</v>
      </c>
      <c r="P20" s="13">
        <f t="shared" si="3"/>
        <v>0</v>
      </c>
      <c r="Q20" s="12" t="s">
        <v>402</v>
      </c>
    </row>
    <row r="21" spans="2:17" x14ac:dyDescent="0.3">
      <c r="B21" s="8" t="s">
        <v>432</v>
      </c>
      <c r="C21" s="18">
        <v>46093</v>
      </c>
      <c r="D21" s="8" t="s">
        <v>433</v>
      </c>
      <c r="E21" s="8" t="s">
        <v>426</v>
      </c>
      <c r="F21" s="8" t="s">
        <v>434</v>
      </c>
      <c r="G21" s="8" t="s">
        <v>249</v>
      </c>
      <c r="H21" s="35">
        <v>1</v>
      </c>
      <c r="I21" s="9">
        <v>35000</v>
      </c>
      <c r="J21" s="9">
        <v>0</v>
      </c>
      <c r="K21" s="9">
        <f t="shared" si="0"/>
        <v>35000</v>
      </c>
      <c r="L21" s="9">
        <v>35000</v>
      </c>
      <c r="M21" s="9">
        <v>0</v>
      </c>
      <c r="N21" s="9">
        <f t="shared" si="1"/>
        <v>35000</v>
      </c>
      <c r="O21" s="9">
        <f t="shared" si="2"/>
        <v>0</v>
      </c>
      <c r="P21" s="9">
        <f t="shared" si="3"/>
        <v>0</v>
      </c>
      <c r="Q21" s="8" t="s">
        <v>402</v>
      </c>
    </row>
    <row r="22" spans="2:17" x14ac:dyDescent="0.3">
      <c r="B22" s="12" t="s">
        <v>435</v>
      </c>
      <c r="C22" s="19">
        <v>46095</v>
      </c>
      <c r="D22" s="12" t="s">
        <v>436</v>
      </c>
      <c r="E22" s="12" t="s">
        <v>437</v>
      </c>
      <c r="F22" s="12" t="s">
        <v>438</v>
      </c>
      <c r="G22" s="12" t="s">
        <v>439</v>
      </c>
      <c r="H22" s="36">
        <v>1.44</v>
      </c>
      <c r="I22" s="13">
        <v>150000</v>
      </c>
      <c r="J22" s="13">
        <v>0</v>
      </c>
      <c r="K22" s="13">
        <f t="shared" si="0"/>
        <v>150000</v>
      </c>
      <c r="L22" s="13">
        <v>216000</v>
      </c>
      <c r="M22" s="13">
        <v>0</v>
      </c>
      <c r="N22" s="13">
        <f t="shared" si="1"/>
        <v>216000</v>
      </c>
      <c r="O22" s="13">
        <f t="shared" si="2"/>
        <v>0</v>
      </c>
      <c r="P22" s="13">
        <f t="shared" si="3"/>
        <v>0</v>
      </c>
      <c r="Q22" s="12" t="s">
        <v>402</v>
      </c>
    </row>
    <row r="23" spans="2:17" x14ac:dyDescent="0.3">
      <c r="B23" s="8" t="s">
        <v>440</v>
      </c>
      <c r="C23" s="18">
        <v>46097</v>
      </c>
      <c r="D23" s="8" t="s">
        <v>441</v>
      </c>
      <c r="E23" s="8" t="s">
        <v>437</v>
      </c>
      <c r="F23" s="8" t="s">
        <v>442</v>
      </c>
      <c r="G23" s="8" t="s">
        <v>249</v>
      </c>
      <c r="H23" s="35">
        <v>1</v>
      </c>
      <c r="I23" s="9">
        <v>69000</v>
      </c>
      <c r="J23" s="9">
        <v>0</v>
      </c>
      <c r="K23" s="9">
        <f t="shared" si="0"/>
        <v>69000</v>
      </c>
      <c r="L23" s="9">
        <v>69000</v>
      </c>
      <c r="M23" s="9">
        <v>0</v>
      </c>
      <c r="N23" s="9">
        <f t="shared" si="1"/>
        <v>69000</v>
      </c>
      <c r="O23" s="9">
        <f t="shared" si="2"/>
        <v>0</v>
      </c>
      <c r="P23" s="9">
        <f t="shared" si="3"/>
        <v>0</v>
      </c>
      <c r="Q23" s="8" t="s">
        <v>402</v>
      </c>
    </row>
    <row r="24" spans="2:17" x14ac:dyDescent="0.3">
      <c r="B24" s="12" t="s">
        <v>443</v>
      </c>
      <c r="C24" s="19">
        <v>46099</v>
      </c>
      <c r="D24" s="12" t="s">
        <v>444</v>
      </c>
      <c r="E24" s="12" t="s">
        <v>437</v>
      </c>
      <c r="F24" s="12" t="s">
        <v>445</v>
      </c>
      <c r="G24" s="12" t="s">
        <v>249</v>
      </c>
      <c r="H24" s="36">
        <v>1</v>
      </c>
      <c r="I24" s="13">
        <v>15000</v>
      </c>
      <c r="J24" s="13">
        <v>0</v>
      </c>
      <c r="K24" s="13">
        <f t="shared" si="0"/>
        <v>15000</v>
      </c>
      <c r="L24" s="13">
        <v>15000</v>
      </c>
      <c r="M24" s="13">
        <v>0</v>
      </c>
      <c r="N24" s="13">
        <f t="shared" si="1"/>
        <v>15000</v>
      </c>
      <c r="O24" s="13">
        <f t="shared" si="2"/>
        <v>0</v>
      </c>
      <c r="P24" s="13">
        <f t="shared" si="3"/>
        <v>0</v>
      </c>
      <c r="Q24" s="12" t="s">
        <v>402</v>
      </c>
    </row>
    <row r="25" spans="2:17" x14ac:dyDescent="0.3">
      <c r="B25" s="8" t="s">
        <v>446</v>
      </c>
      <c r="C25" s="18">
        <v>46101</v>
      </c>
      <c r="D25" s="8" t="s">
        <v>447</v>
      </c>
      <c r="E25" s="8" t="s">
        <v>448</v>
      </c>
      <c r="F25" s="8" t="s">
        <v>449</v>
      </c>
      <c r="G25" s="8" t="s">
        <v>428</v>
      </c>
      <c r="H25" s="35">
        <v>10.8</v>
      </c>
      <c r="I25" s="9">
        <v>15000</v>
      </c>
      <c r="J25" s="9">
        <v>0</v>
      </c>
      <c r="K25" s="9">
        <f t="shared" si="0"/>
        <v>15000</v>
      </c>
      <c r="L25" s="9">
        <v>162000</v>
      </c>
      <c r="M25" s="9">
        <v>0</v>
      </c>
      <c r="N25" s="9">
        <f t="shared" si="1"/>
        <v>162000</v>
      </c>
      <c r="O25" s="9">
        <f t="shared" si="2"/>
        <v>0</v>
      </c>
      <c r="P25" s="9">
        <f t="shared" si="3"/>
        <v>0</v>
      </c>
      <c r="Q25" s="8" t="s">
        <v>402</v>
      </c>
    </row>
    <row r="26" spans="2:17" x14ac:dyDescent="0.3">
      <c r="B26" s="12" t="s">
        <v>450</v>
      </c>
      <c r="C26" s="19">
        <v>46103</v>
      </c>
      <c r="D26" s="12" t="s">
        <v>451</v>
      </c>
      <c r="E26" s="12" t="s">
        <v>448</v>
      </c>
      <c r="F26" s="12" t="s">
        <v>452</v>
      </c>
      <c r="G26" s="12" t="s">
        <v>249</v>
      </c>
      <c r="H26" s="36">
        <v>1</v>
      </c>
      <c r="I26" s="13">
        <v>18000</v>
      </c>
      <c r="J26" s="13">
        <v>0</v>
      </c>
      <c r="K26" s="13">
        <f t="shared" si="0"/>
        <v>18000</v>
      </c>
      <c r="L26" s="13">
        <v>18000</v>
      </c>
      <c r="M26" s="13">
        <v>0</v>
      </c>
      <c r="N26" s="13">
        <f t="shared" si="1"/>
        <v>18000</v>
      </c>
      <c r="O26" s="13">
        <f t="shared" si="2"/>
        <v>0</v>
      </c>
      <c r="P26" s="13">
        <f t="shared" si="3"/>
        <v>0</v>
      </c>
      <c r="Q26" s="12" t="s">
        <v>402</v>
      </c>
    </row>
    <row r="27" spans="2:17" x14ac:dyDescent="0.3">
      <c r="B27" s="8" t="s">
        <v>453</v>
      </c>
      <c r="C27" s="18">
        <v>46105</v>
      </c>
      <c r="D27" s="8" t="s">
        <v>454</v>
      </c>
      <c r="E27" s="8" t="s">
        <v>448</v>
      </c>
      <c r="F27" s="8" t="s">
        <v>455</v>
      </c>
      <c r="G27" s="8" t="s">
        <v>249</v>
      </c>
      <c r="H27" s="35">
        <v>1</v>
      </c>
      <c r="I27" s="9">
        <v>5000</v>
      </c>
      <c r="J27" s="9">
        <v>0</v>
      </c>
      <c r="K27" s="9">
        <f t="shared" si="0"/>
        <v>5000</v>
      </c>
      <c r="L27" s="9">
        <v>5000</v>
      </c>
      <c r="M27" s="9">
        <v>0</v>
      </c>
      <c r="N27" s="9">
        <f t="shared" si="1"/>
        <v>5000</v>
      </c>
      <c r="O27" s="9">
        <f t="shared" si="2"/>
        <v>0</v>
      </c>
      <c r="P27" s="9">
        <f t="shared" si="3"/>
        <v>0</v>
      </c>
      <c r="Q27" s="8" t="s">
        <v>402</v>
      </c>
    </row>
    <row r="28" spans="2:17" x14ac:dyDescent="0.3">
      <c r="B28" s="12" t="s">
        <v>62</v>
      </c>
      <c r="C28" s="19">
        <v>46107</v>
      </c>
      <c r="D28" s="12" t="s">
        <v>407</v>
      </c>
      <c r="E28" s="12" t="s">
        <v>400</v>
      </c>
      <c r="F28" s="12" t="s">
        <v>408</v>
      </c>
      <c r="G28" s="12" t="s">
        <v>249</v>
      </c>
      <c r="H28" s="36">
        <v>1</v>
      </c>
      <c r="I28" s="13">
        <v>95000</v>
      </c>
      <c r="J28" s="13">
        <v>16150</v>
      </c>
      <c r="K28" s="13">
        <f t="shared" si="0"/>
        <v>111150</v>
      </c>
      <c r="L28" s="13">
        <v>95000</v>
      </c>
      <c r="M28" s="13">
        <v>16150</v>
      </c>
      <c r="N28" s="13">
        <f t="shared" si="1"/>
        <v>111150</v>
      </c>
      <c r="O28" s="13">
        <f t="shared" si="2"/>
        <v>0</v>
      </c>
      <c r="P28" s="13">
        <f t="shared" si="3"/>
        <v>0</v>
      </c>
      <c r="Q28" s="12" t="s">
        <v>402</v>
      </c>
    </row>
    <row r="29" spans="2:17" x14ac:dyDescent="0.3">
      <c r="B29" s="8" t="s">
        <v>456</v>
      </c>
      <c r="C29" s="18">
        <v>46082</v>
      </c>
      <c r="D29" s="8" t="s">
        <v>457</v>
      </c>
      <c r="E29" s="8" t="s">
        <v>400</v>
      </c>
      <c r="F29" s="8" t="s">
        <v>458</v>
      </c>
      <c r="G29" s="8" t="s">
        <v>249</v>
      </c>
      <c r="H29" s="35">
        <v>1</v>
      </c>
      <c r="I29" s="9">
        <v>62000</v>
      </c>
      <c r="J29" s="9">
        <v>15500</v>
      </c>
      <c r="K29" s="9">
        <f t="shared" si="0"/>
        <v>77500</v>
      </c>
      <c r="L29" s="9">
        <v>62000</v>
      </c>
      <c r="M29" s="9">
        <v>15500</v>
      </c>
      <c r="N29" s="9">
        <f t="shared" si="1"/>
        <v>77500</v>
      </c>
      <c r="O29" s="9">
        <f t="shared" si="2"/>
        <v>0</v>
      </c>
      <c r="P29" s="9">
        <f t="shared" si="3"/>
        <v>15500</v>
      </c>
      <c r="Q29" s="8" t="s">
        <v>459</v>
      </c>
    </row>
    <row r="30" spans="2:17" x14ac:dyDescent="0.3">
      <c r="B30" s="12" t="s">
        <v>460</v>
      </c>
      <c r="C30" s="19">
        <v>46084</v>
      </c>
      <c r="D30" s="12" t="s">
        <v>461</v>
      </c>
      <c r="E30" s="12" t="s">
        <v>400</v>
      </c>
      <c r="F30" s="12" t="s">
        <v>462</v>
      </c>
      <c r="G30" s="12" t="s">
        <v>249</v>
      </c>
      <c r="H30" s="36">
        <v>1</v>
      </c>
      <c r="I30" s="13">
        <v>18500</v>
      </c>
      <c r="J30" s="13">
        <v>4625</v>
      </c>
      <c r="K30" s="13">
        <f t="shared" si="0"/>
        <v>23125</v>
      </c>
      <c r="L30" s="13">
        <v>18500</v>
      </c>
      <c r="M30" s="13">
        <v>4625</v>
      </c>
      <c r="N30" s="13">
        <f t="shared" si="1"/>
        <v>23125</v>
      </c>
      <c r="O30" s="13">
        <f t="shared" si="2"/>
        <v>0</v>
      </c>
      <c r="P30" s="13">
        <f t="shared" si="3"/>
        <v>4625</v>
      </c>
      <c r="Q30" s="12" t="s">
        <v>459</v>
      </c>
    </row>
    <row r="31" spans="2:17" x14ac:dyDescent="0.3">
      <c r="B31" s="8" t="s">
        <v>463</v>
      </c>
      <c r="C31" s="18">
        <v>46086</v>
      </c>
      <c r="D31" s="8" t="s">
        <v>464</v>
      </c>
      <c r="E31" s="8" t="s">
        <v>400</v>
      </c>
      <c r="F31" s="8" t="s">
        <v>465</v>
      </c>
      <c r="G31" s="8" t="s">
        <v>249</v>
      </c>
      <c r="H31" s="35">
        <v>1</v>
      </c>
      <c r="I31" s="9">
        <v>9600</v>
      </c>
      <c r="J31" s="9">
        <v>2400</v>
      </c>
      <c r="K31" s="9">
        <f t="shared" si="0"/>
        <v>12000</v>
      </c>
      <c r="L31" s="9">
        <v>9600</v>
      </c>
      <c r="M31" s="9">
        <v>2400</v>
      </c>
      <c r="N31" s="9">
        <f t="shared" si="1"/>
        <v>12000</v>
      </c>
      <c r="O31" s="9">
        <f t="shared" si="2"/>
        <v>0</v>
      </c>
      <c r="P31" s="9">
        <f t="shared" si="3"/>
        <v>2400</v>
      </c>
      <c r="Q31" s="8" t="s">
        <v>459</v>
      </c>
    </row>
    <row r="32" spans="2:17" x14ac:dyDescent="0.3">
      <c r="B32" s="12" t="s">
        <v>466</v>
      </c>
      <c r="C32" s="19">
        <v>46088</v>
      </c>
      <c r="D32" s="12" t="s">
        <v>467</v>
      </c>
      <c r="E32" s="12" t="s">
        <v>400</v>
      </c>
      <c r="F32" s="12" t="s">
        <v>468</v>
      </c>
      <c r="G32" s="12" t="s">
        <v>249</v>
      </c>
      <c r="H32" s="36">
        <v>1</v>
      </c>
      <c r="I32" s="13">
        <v>25000</v>
      </c>
      <c r="J32" s="13">
        <v>6250</v>
      </c>
      <c r="K32" s="13">
        <f t="shared" si="0"/>
        <v>31250</v>
      </c>
      <c r="L32" s="13">
        <v>25000</v>
      </c>
      <c r="M32" s="13">
        <v>6250</v>
      </c>
      <c r="N32" s="13">
        <f t="shared" si="1"/>
        <v>31250</v>
      </c>
      <c r="O32" s="13">
        <f t="shared" si="2"/>
        <v>0</v>
      </c>
      <c r="P32" s="13">
        <f t="shared" si="3"/>
        <v>6250</v>
      </c>
      <c r="Q32" s="12" t="s">
        <v>459</v>
      </c>
    </row>
    <row r="33" spans="2:17" x14ac:dyDescent="0.3">
      <c r="B33" s="8" t="s">
        <v>469</v>
      </c>
      <c r="C33" s="18">
        <v>46090</v>
      </c>
      <c r="D33" s="8" t="s">
        <v>470</v>
      </c>
      <c r="E33" s="8" t="s">
        <v>400</v>
      </c>
      <c r="F33" s="8" t="s">
        <v>471</v>
      </c>
      <c r="G33" s="8" t="s">
        <v>249</v>
      </c>
      <c r="H33" s="35">
        <v>1</v>
      </c>
      <c r="I33" s="9">
        <v>14800</v>
      </c>
      <c r="J33" s="9">
        <v>3700</v>
      </c>
      <c r="K33" s="9">
        <f t="shared" si="0"/>
        <v>18500</v>
      </c>
      <c r="L33" s="9">
        <v>14800</v>
      </c>
      <c r="M33" s="9">
        <v>3700</v>
      </c>
      <c r="N33" s="9">
        <f t="shared" si="1"/>
        <v>18500</v>
      </c>
      <c r="O33" s="9">
        <f t="shared" si="2"/>
        <v>0</v>
      </c>
      <c r="P33" s="9">
        <f t="shared" si="3"/>
        <v>3700</v>
      </c>
      <c r="Q33" s="8" t="s">
        <v>459</v>
      </c>
    </row>
    <row r="34" spans="2:17" x14ac:dyDescent="0.3">
      <c r="B34" s="12" t="s">
        <v>472</v>
      </c>
      <c r="C34" s="19">
        <v>46092</v>
      </c>
      <c r="D34" s="12" t="s">
        <v>473</v>
      </c>
      <c r="E34" s="12" t="s">
        <v>400</v>
      </c>
      <c r="F34" s="12" t="s">
        <v>474</v>
      </c>
      <c r="G34" s="12" t="s">
        <v>249</v>
      </c>
      <c r="H34" s="36">
        <v>1</v>
      </c>
      <c r="I34" s="13">
        <v>32000</v>
      </c>
      <c r="J34" s="13">
        <v>8000</v>
      </c>
      <c r="K34" s="13">
        <f t="shared" si="0"/>
        <v>40000</v>
      </c>
      <c r="L34" s="13">
        <v>32000</v>
      </c>
      <c r="M34" s="13">
        <v>8000</v>
      </c>
      <c r="N34" s="13">
        <f t="shared" si="1"/>
        <v>40000</v>
      </c>
      <c r="O34" s="13">
        <f t="shared" si="2"/>
        <v>0</v>
      </c>
      <c r="P34" s="13">
        <f t="shared" si="3"/>
        <v>8000</v>
      </c>
      <c r="Q34" s="12" t="s">
        <v>459</v>
      </c>
    </row>
    <row r="35" spans="2:17" x14ac:dyDescent="0.3">
      <c r="B35" s="8" t="s">
        <v>475</v>
      </c>
      <c r="C35" s="18">
        <v>46094</v>
      </c>
      <c r="D35" s="8" t="s">
        <v>476</v>
      </c>
      <c r="E35" s="8" t="s">
        <v>400</v>
      </c>
      <c r="F35" s="8" t="s">
        <v>477</v>
      </c>
      <c r="G35" s="8" t="s">
        <v>249</v>
      </c>
      <c r="H35" s="35">
        <v>1</v>
      </c>
      <c r="I35" s="9">
        <v>7800</v>
      </c>
      <c r="J35" s="9">
        <v>1950</v>
      </c>
      <c r="K35" s="9">
        <f t="shared" si="0"/>
        <v>9750</v>
      </c>
      <c r="L35" s="9">
        <v>7800</v>
      </c>
      <c r="M35" s="9">
        <v>1950</v>
      </c>
      <c r="N35" s="9">
        <f t="shared" si="1"/>
        <v>9750</v>
      </c>
      <c r="O35" s="9">
        <f t="shared" si="2"/>
        <v>0</v>
      </c>
      <c r="P35" s="9">
        <f t="shared" si="3"/>
        <v>1950</v>
      </c>
      <c r="Q35" s="8" t="s">
        <v>459</v>
      </c>
    </row>
    <row r="36" spans="2:17" x14ac:dyDescent="0.3">
      <c r="B36" s="12" t="s">
        <v>478</v>
      </c>
      <c r="C36" s="19">
        <v>46096</v>
      </c>
      <c r="D36" s="12" t="s">
        <v>457</v>
      </c>
      <c r="E36" s="12" t="s">
        <v>400</v>
      </c>
      <c r="F36" s="12" t="s">
        <v>458</v>
      </c>
      <c r="G36" s="12" t="s">
        <v>249</v>
      </c>
      <c r="H36" s="36">
        <v>1</v>
      </c>
      <c r="I36" s="13">
        <v>16500</v>
      </c>
      <c r="J36" s="13">
        <v>4125</v>
      </c>
      <c r="K36" s="13">
        <f t="shared" si="0"/>
        <v>20625</v>
      </c>
      <c r="L36" s="13">
        <v>16500</v>
      </c>
      <c r="M36" s="13">
        <v>4125</v>
      </c>
      <c r="N36" s="13">
        <f t="shared" si="1"/>
        <v>20625</v>
      </c>
      <c r="O36" s="13">
        <f t="shared" si="2"/>
        <v>0</v>
      </c>
      <c r="P36" s="13">
        <f t="shared" si="3"/>
        <v>4125</v>
      </c>
      <c r="Q36" s="12" t="s">
        <v>459</v>
      </c>
    </row>
    <row r="37" spans="2:17" x14ac:dyDescent="0.3">
      <c r="B37" s="8" t="s">
        <v>479</v>
      </c>
      <c r="C37" s="18">
        <v>46098</v>
      </c>
      <c r="D37" s="8" t="s">
        <v>461</v>
      </c>
      <c r="E37" s="8" t="s">
        <v>400</v>
      </c>
      <c r="F37" s="8" t="s">
        <v>462</v>
      </c>
      <c r="G37" s="8" t="s">
        <v>249</v>
      </c>
      <c r="H37" s="35">
        <v>1</v>
      </c>
      <c r="I37" s="9">
        <v>12800</v>
      </c>
      <c r="J37" s="9">
        <v>3200</v>
      </c>
      <c r="K37" s="9">
        <f t="shared" si="0"/>
        <v>16000</v>
      </c>
      <c r="L37" s="9">
        <v>12800</v>
      </c>
      <c r="M37" s="9">
        <v>3200</v>
      </c>
      <c r="N37" s="9">
        <f t="shared" si="1"/>
        <v>16000</v>
      </c>
      <c r="O37" s="9">
        <f t="shared" si="2"/>
        <v>0</v>
      </c>
      <c r="P37" s="9">
        <f t="shared" si="3"/>
        <v>3200</v>
      </c>
      <c r="Q37" s="8" t="s">
        <v>459</v>
      </c>
    </row>
    <row r="38" spans="2:17" x14ac:dyDescent="0.3">
      <c r="B38" s="12" t="s">
        <v>480</v>
      </c>
      <c r="C38" s="19">
        <v>46100</v>
      </c>
      <c r="D38" s="12" t="s">
        <v>464</v>
      </c>
      <c r="E38" s="12" t="s">
        <v>400</v>
      </c>
      <c r="F38" s="12" t="s">
        <v>465</v>
      </c>
      <c r="G38" s="12" t="s">
        <v>249</v>
      </c>
      <c r="H38" s="36">
        <v>1</v>
      </c>
      <c r="I38" s="13">
        <v>22400</v>
      </c>
      <c r="J38" s="13">
        <v>5600</v>
      </c>
      <c r="K38" s="13">
        <f t="shared" si="0"/>
        <v>28000</v>
      </c>
      <c r="L38" s="13">
        <v>22400</v>
      </c>
      <c r="M38" s="13">
        <v>5600</v>
      </c>
      <c r="N38" s="13">
        <f t="shared" si="1"/>
        <v>28000</v>
      </c>
      <c r="O38" s="13">
        <f t="shared" si="2"/>
        <v>0</v>
      </c>
      <c r="P38" s="13">
        <f t="shared" si="3"/>
        <v>5600</v>
      </c>
      <c r="Q38" s="12" t="s">
        <v>459</v>
      </c>
    </row>
    <row r="39" spans="2:17" x14ac:dyDescent="0.3">
      <c r="B39" s="8" t="s">
        <v>481</v>
      </c>
      <c r="C39" s="18">
        <v>46102</v>
      </c>
      <c r="D39" s="8" t="s">
        <v>467</v>
      </c>
      <c r="E39" s="8" t="s">
        <v>400</v>
      </c>
      <c r="F39" s="8" t="s">
        <v>468</v>
      </c>
      <c r="G39" s="8" t="s">
        <v>249</v>
      </c>
      <c r="H39" s="35">
        <v>1</v>
      </c>
      <c r="I39" s="9">
        <v>19800</v>
      </c>
      <c r="J39" s="9">
        <v>4950</v>
      </c>
      <c r="K39" s="9">
        <f t="shared" si="0"/>
        <v>24750</v>
      </c>
      <c r="L39" s="9">
        <v>19800</v>
      </c>
      <c r="M39" s="9">
        <v>4950</v>
      </c>
      <c r="N39" s="9">
        <f t="shared" si="1"/>
        <v>24750</v>
      </c>
      <c r="O39" s="9">
        <f t="shared" si="2"/>
        <v>0</v>
      </c>
      <c r="P39" s="9">
        <f t="shared" si="3"/>
        <v>4950</v>
      </c>
      <c r="Q39" s="8" t="s">
        <v>459</v>
      </c>
    </row>
    <row r="40" spans="2:17" x14ac:dyDescent="0.3">
      <c r="B40" s="12" t="s">
        <v>482</v>
      </c>
      <c r="C40" s="19">
        <v>46104</v>
      </c>
      <c r="D40" s="12" t="s">
        <v>470</v>
      </c>
      <c r="E40" s="12" t="s">
        <v>400</v>
      </c>
      <c r="F40" s="12" t="s">
        <v>471</v>
      </c>
      <c r="G40" s="12" t="s">
        <v>249</v>
      </c>
      <c r="H40" s="36">
        <v>1</v>
      </c>
      <c r="I40" s="13">
        <v>8600</v>
      </c>
      <c r="J40" s="13">
        <v>2150</v>
      </c>
      <c r="K40" s="13">
        <f t="shared" si="0"/>
        <v>10750</v>
      </c>
      <c r="L40" s="13">
        <v>8600</v>
      </c>
      <c r="M40" s="13">
        <v>2150</v>
      </c>
      <c r="N40" s="13">
        <f t="shared" si="1"/>
        <v>10750</v>
      </c>
      <c r="O40" s="13">
        <f t="shared" si="2"/>
        <v>0</v>
      </c>
      <c r="P40" s="13">
        <f t="shared" si="3"/>
        <v>2150</v>
      </c>
      <c r="Q40" s="12" t="s">
        <v>459</v>
      </c>
    </row>
    <row r="41" spans="2:17" x14ac:dyDescent="0.3">
      <c r="B41" s="8" t="s">
        <v>483</v>
      </c>
      <c r="C41" s="18">
        <v>46106</v>
      </c>
      <c r="D41" s="8" t="s">
        <v>473</v>
      </c>
      <c r="E41" s="8" t="s">
        <v>400</v>
      </c>
      <c r="F41" s="8" t="s">
        <v>474</v>
      </c>
      <c r="G41" s="8" t="s">
        <v>249</v>
      </c>
      <c r="H41" s="35">
        <v>1</v>
      </c>
      <c r="I41" s="9">
        <v>14200</v>
      </c>
      <c r="J41" s="9">
        <v>3550</v>
      </c>
      <c r="K41" s="9">
        <f t="shared" si="0"/>
        <v>17750</v>
      </c>
      <c r="L41" s="9">
        <v>14200</v>
      </c>
      <c r="M41" s="9">
        <v>3550</v>
      </c>
      <c r="N41" s="9">
        <f t="shared" si="1"/>
        <v>17750</v>
      </c>
      <c r="O41" s="9">
        <f t="shared" si="2"/>
        <v>0</v>
      </c>
      <c r="P41" s="9">
        <f t="shared" si="3"/>
        <v>3550</v>
      </c>
      <c r="Q41" s="8" t="s">
        <v>459</v>
      </c>
    </row>
    <row r="42" spans="2:17" x14ac:dyDescent="0.3">
      <c r="B42" s="12" t="s">
        <v>484</v>
      </c>
      <c r="C42" s="19">
        <v>46108</v>
      </c>
      <c r="D42" s="12" t="s">
        <v>470</v>
      </c>
      <c r="E42" s="12" t="s">
        <v>400</v>
      </c>
      <c r="F42" s="12" t="s">
        <v>471</v>
      </c>
      <c r="G42" s="12" t="s">
        <v>249</v>
      </c>
      <c r="H42" s="36">
        <v>1</v>
      </c>
      <c r="I42" s="13">
        <v>-8600</v>
      </c>
      <c r="J42" s="13">
        <v>-2150</v>
      </c>
      <c r="K42" s="13">
        <f t="shared" si="0"/>
        <v>-10750</v>
      </c>
      <c r="L42" s="13">
        <v>-8600</v>
      </c>
      <c r="M42" s="13">
        <v>-2150</v>
      </c>
      <c r="N42" s="13">
        <f t="shared" si="1"/>
        <v>-10750</v>
      </c>
      <c r="O42" s="13">
        <f t="shared" si="2"/>
        <v>0</v>
      </c>
      <c r="P42" s="13">
        <f t="shared" si="3"/>
        <v>-2150</v>
      </c>
      <c r="Q42" s="12" t="s">
        <v>459</v>
      </c>
    </row>
    <row r="43" spans="2:17" x14ac:dyDescent="0.3">
      <c r="B43" s="8" t="s">
        <v>485</v>
      </c>
      <c r="C43" s="18">
        <v>46099</v>
      </c>
      <c r="D43" s="8" t="s">
        <v>486</v>
      </c>
      <c r="E43" s="8" t="s">
        <v>426</v>
      </c>
      <c r="F43" s="8" t="s">
        <v>487</v>
      </c>
      <c r="G43" s="8" t="s">
        <v>428</v>
      </c>
      <c r="H43" s="35">
        <v>10.8</v>
      </c>
      <c r="I43" s="9">
        <v>4000</v>
      </c>
      <c r="J43" s="9">
        <v>0</v>
      </c>
      <c r="K43" s="9">
        <f t="shared" si="0"/>
        <v>4000</v>
      </c>
      <c r="L43" s="9">
        <v>43200</v>
      </c>
      <c r="M43" s="9">
        <v>0</v>
      </c>
      <c r="N43" s="9">
        <f t="shared" si="1"/>
        <v>43200</v>
      </c>
      <c r="O43" s="9">
        <f t="shared" si="2"/>
        <v>10800</v>
      </c>
      <c r="P43" s="9">
        <f t="shared" si="3"/>
        <v>10800</v>
      </c>
      <c r="Q43" s="8" t="s">
        <v>459</v>
      </c>
    </row>
    <row r="44" spans="2:17" x14ac:dyDescent="0.3">
      <c r="B44" s="12" t="s">
        <v>68</v>
      </c>
      <c r="C44" s="19">
        <v>46101</v>
      </c>
      <c r="D44" s="12" t="s">
        <v>488</v>
      </c>
      <c r="E44" s="12" t="s">
        <v>489</v>
      </c>
      <c r="F44" s="12" t="s">
        <v>490</v>
      </c>
      <c r="G44" s="12" t="s">
        <v>491</v>
      </c>
      <c r="H44" s="36">
        <v>10.4</v>
      </c>
      <c r="I44" s="13">
        <v>2000</v>
      </c>
      <c r="J44" s="13">
        <v>0</v>
      </c>
      <c r="K44" s="13">
        <f t="shared" si="0"/>
        <v>2000</v>
      </c>
      <c r="L44" s="13">
        <v>20800</v>
      </c>
      <c r="M44" s="13">
        <v>0</v>
      </c>
      <c r="N44" s="13">
        <f t="shared" si="1"/>
        <v>20800</v>
      </c>
      <c r="O44" s="13">
        <f t="shared" si="2"/>
        <v>5200</v>
      </c>
      <c r="P44" s="13">
        <f t="shared" si="3"/>
        <v>5200</v>
      </c>
      <c r="Q44" s="12" t="s">
        <v>459</v>
      </c>
    </row>
    <row r="45" spans="2:17" x14ac:dyDescent="0.3">
      <c r="B45" s="8" t="s">
        <v>492</v>
      </c>
      <c r="C45" s="18">
        <v>46106</v>
      </c>
      <c r="D45" s="8" t="s">
        <v>493</v>
      </c>
      <c r="E45" s="8" t="s">
        <v>437</v>
      </c>
      <c r="F45" s="8" t="s">
        <v>494</v>
      </c>
      <c r="G45" s="8" t="s">
        <v>249</v>
      </c>
      <c r="H45" s="35">
        <v>1</v>
      </c>
      <c r="I45" s="9">
        <v>9600</v>
      </c>
      <c r="J45" s="9">
        <v>0</v>
      </c>
      <c r="K45" s="9">
        <f t="shared" si="0"/>
        <v>9600</v>
      </c>
      <c r="L45" s="9">
        <v>9600</v>
      </c>
      <c r="M45" s="9">
        <v>0</v>
      </c>
      <c r="N45" s="9">
        <f t="shared" si="1"/>
        <v>9600</v>
      </c>
      <c r="O45" s="9">
        <f t="shared" si="2"/>
        <v>2400</v>
      </c>
      <c r="P45" s="9">
        <f t="shared" si="3"/>
        <v>2400</v>
      </c>
      <c r="Q45" s="8" t="s">
        <v>459</v>
      </c>
    </row>
    <row r="46" spans="2:17" x14ac:dyDescent="0.3">
      <c r="B46" s="32" t="s">
        <v>307</v>
      </c>
      <c r="C46" s="32"/>
      <c r="D46" s="32"/>
      <c r="E46" s="32"/>
      <c r="F46" s="32"/>
      <c r="G46" s="32"/>
      <c r="H46" s="32"/>
      <c r="I46" s="32"/>
      <c r="J46" s="32"/>
      <c r="K46" s="32"/>
      <c r="L46" s="33">
        <f>SUM(L7:L45)</f>
        <v>2824000</v>
      </c>
      <c r="M46" s="33">
        <f>SUM(M7:M45)</f>
        <v>392500</v>
      </c>
      <c r="N46" s="33">
        <f>SUM(N7:N45)</f>
        <v>3216500</v>
      </c>
      <c r="O46" s="33">
        <f>SUM(O7:O45)</f>
        <v>18400</v>
      </c>
      <c r="P46" s="33">
        <f>SUM(P7:P45)</f>
        <v>82250</v>
      </c>
      <c r="Q46" s="32"/>
    </row>
    <row r="48" spans="2:17" x14ac:dyDescent="0.3">
      <c r="B48" s="6" t="s">
        <v>495</v>
      </c>
    </row>
    <row r="49" spans="2:20" ht="27.6" x14ac:dyDescent="0.3">
      <c r="B49" s="7" t="s">
        <v>496</v>
      </c>
      <c r="C49" s="7" t="s">
        <v>497</v>
      </c>
      <c r="D49" s="7" t="s">
        <v>384</v>
      </c>
      <c r="E49" s="7" t="s">
        <v>23</v>
      </c>
      <c r="F49" s="7" t="s">
        <v>264</v>
      </c>
      <c r="G49" s="7" t="s">
        <v>498</v>
      </c>
      <c r="H49" s="7" t="s">
        <v>391</v>
      </c>
      <c r="I49" s="7" t="s">
        <v>499</v>
      </c>
      <c r="J49" s="7" t="s">
        <v>500</v>
      </c>
      <c r="K49" s="7" t="s">
        <v>501</v>
      </c>
      <c r="L49" s="7" t="s">
        <v>389</v>
      </c>
      <c r="M49" s="7" t="s">
        <v>390</v>
      </c>
      <c r="N49" s="7" t="s">
        <v>394</v>
      </c>
      <c r="O49" s="7" t="s">
        <v>395</v>
      </c>
      <c r="P49" s="7" t="s">
        <v>304</v>
      </c>
      <c r="Q49" s="7" t="s">
        <v>305</v>
      </c>
      <c r="R49" s="7" t="s">
        <v>269</v>
      </c>
      <c r="S49" s="7" t="s">
        <v>502</v>
      </c>
      <c r="T49" s="7" t="s">
        <v>503</v>
      </c>
    </row>
    <row r="50" spans="2:20" x14ac:dyDescent="0.3">
      <c r="B50" s="37">
        <f t="shared" ref="B50:B81" si="4">ROUND(I50-J50,2)</f>
        <v>0</v>
      </c>
      <c r="C50" s="8" t="s">
        <v>504</v>
      </c>
      <c r="D50" s="8" t="s">
        <v>398</v>
      </c>
      <c r="E50" s="8" t="s">
        <v>505</v>
      </c>
      <c r="F50" s="8" t="s">
        <v>270</v>
      </c>
      <c r="G50" s="30">
        <f>INDEX('03 VAT return'!$E$56:$E$63,MATCH(F50,'03 VAT return'!$B$56:$B$63,0))</f>
        <v>0.25</v>
      </c>
      <c r="H50" s="9">
        <v>72000</v>
      </c>
      <c r="I50" s="9">
        <v>18000</v>
      </c>
      <c r="J50" s="9">
        <f>IF(INDEX('03 VAT return'!$F$56:$F$63,MATCH(F50,'03 VAT return'!$B$56:$B$63,0))="Yes",0,ROUND(H50*G50,2))</f>
        <v>18000</v>
      </c>
      <c r="K50" s="30">
        <f t="shared" ref="K50:K81" si="5">IF(H50=0,0,I50/H50)</f>
        <v>0.25</v>
      </c>
      <c r="L50" s="8" t="s">
        <v>249</v>
      </c>
      <c r="M50" s="35">
        <v>1</v>
      </c>
      <c r="N50" s="9">
        <v>72000</v>
      </c>
      <c r="O50" s="9">
        <v>18000</v>
      </c>
      <c r="P50" s="9">
        <f>IF(INDEX('03 VAT return'!$F$56:$F$63,MATCH(F50,'03 VAT return'!$B$56:$B$63,0))="Yes",ROUND(N50*G50,2),0)</f>
        <v>0</v>
      </c>
      <c r="Q50" s="9">
        <f>IF(INDEX('03 VAT return'!$D$56:$D$63,MATCH(F50,'03 VAT return'!$B$56:$B$63,0))="AP",O50+P50,0)</f>
        <v>0</v>
      </c>
      <c r="R50" s="8" t="s">
        <v>275</v>
      </c>
      <c r="S50" s="8">
        <v>10</v>
      </c>
      <c r="T50" s="9">
        <v>7200</v>
      </c>
    </row>
    <row r="51" spans="2:20" x14ac:dyDescent="0.3">
      <c r="B51" s="38">
        <f t="shared" si="4"/>
        <v>0</v>
      </c>
      <c r="C51" s="12" t="s">
        <v>506</v>
      </c>
      <c r="D51" s="12" t="s">
        <v>398</v>
      </c>
      <c r="E51" s="12" t="s">
        <v>507</v>
      </c>
      <c r="F51" s="12" t="s">
        <v>270</v>
      </c>
      <c r="G51" s="31">
        <f>INDEX('03 VAT return'!$E$56:$E$63,MATCH(F51,'03 VAT return'!$B$56:$B$63,0))</f>
        <v>0.25</v>
      </c>
      <c r="H51" s="13">
        <v>48000</v>
      </c>
      <c r="I51" s="13">
        <v>12000</v>
      </c>
      <c r="J51" s="13">
        <f>IF(INDEX('03 VAT return'!$F$56:$F$63,MATCH(F51,'03 VAT return'!$B$56:$B$63,0))="Yes",0,ROUND(H51*G51,2))</f>
        <v>12000</v>
      </c>
      <c r="K51" s="31">
        <f t="shared" si="5"/>
        <v>0.25</v>
      </c>
      <c r="L51" s="12" t="s">
        <v>249</v>
      </c>
      <c r="M51" s="36">
        <v>1</v>
      </c>
      <c r="N51" s="13">
        <v>48000</v>
      </c>
      <c r="O51" s="13">
        <v>12000</v>
      </c>
      <c r="P51" s="13">
        <f>IF(INDEX('03 VAT return'!$F$56:$F$63,MATCH(F51,'03 VAT return'!$B$56:$B$63,0))="Yes",ROUND(N51*G51,2),0)</f>
        <v>0</v>
      </c>
      <c r="Q51" s="13">
        <f>IF(INDEX('03 VAT return'!$D$56:$D$63,MATCH(F51,'03 VAT return'!$B$56:$B$63,0))="AP",O51+P51,0)</f>
        <v>0</v>
      </c>
      <c r="R51" s="12" t="s">
        <v>275</v>
      </c>
      <c r="S51" s="12">
        <v>5</v>
      </c>
      <c r="T51" s="13">
        <v>9600</v>
      </c>
    </row>
    <row r="52" spans="2:20" x14ac:dyDescent="0.3">
      <c r="B52" s="37">
        <f t="shared" si="4"/>
        <v>0</v>
      </c>
      <c r="C52" s="8" t="s">
        <v>508</v>
      </c>
      <c r="D52" s="8" t="s">
        <v>403</v>
      </c>
      <c r="E52" s="8" t="s">
        <v>505</v>
      </c>
      <c r="F52" s="8" t="s">
        <v>270</v>
      </c>
      <c r="G52" s="30">
        <f>INDEX('03 VAT return'!$E$56:$E$63,MATCH(F52,'03 VAT return'!$B$56:$B$63,0))</f>
        <v>0.25</v>
      </c>
      <c r="H52" s="9">
        <v>51000</v>
      </c>
      <c r="I52" s="9">
        <v>12750</v>
      </c>
      <c r="J52" s="9">
        <f>IF(INDEX('03 VAT return'!$F$56:$F$63,MATCH(F52,'03 VAT return'!$B$56:$B$63,0))="Yes",0,ROUND(H52*G52,2))</f>
        <v>12750</v>
      </c>
      <c r="K52" s="30">
        <f t="shared" si="5"/>
        <v>0.25</v>
      </c>
      <c r="L52" s="8" t="s">
        <v>249</v>
      </c>
      <c r="M52" s="35">
        <v>1</v>
      </c>
      <c r="N52" s="9">
        <v>51000</v>
      </c>
      <c r="O52" s="9">
        <v>12750</v>
      </c>
      <c r="P52" s="9">
        <f>IF(INDEX('03 VAT return'!$F$56:$F$63,MATCH(F52,'03 VAT return'!$B$56:$B$63,0))="Yes",ROUND(N52*G52,2),0)</f>
        <v>0</v>
      </c>
      <c r="Q52" s="9">
        <f>IF(INDEX('03 VAT return'!$D$56:$D$63,MATCH(F52,'03 VAT return'!$B$56:$B$63,0))="AP",O52+P52,0)</f>
        <v>0</v>
      </c>
      <c r="R52" s="8" t="s">
        <v>275</v>
      </c>
      <c r="S52" s="8">
        <v>10</v>
      </c>
      <c r="T52" s="9">
        <v>5100</v>
      </c>
    </row>
    <row r="53" spans="2:20" x14ac:dyDescent="0.3">
      <c r="B53" s="38">
        <f t="shared" si="4"/>
        <v>0</v>
      </c>
      <c r="C53" s="12" t="s">
        <v>509</v>
      </c>
      <c r="D53" s="12" t="s">
        <v>403</v>
      </c>
      <c r="E53" s="12" t="s">
        <v>507</v>
      </c>
      <c r="F53" s="12" t="s">
        <v>270</v>
      </c>
      <c r="G53" s="31">
        <f>INDEX('03 VAT return'!$E$56:$E$63,MATCH(F53,'03 VAT return'!$B$56:$B$63,0))</f>
        <v>0.25</v>
      </c>
      <c r="H53" s="13">
        <v>34000</v>
      </c>
      <c r="I53" s="13">
        <v>8500</v>
      </c>
      <c r="J53" s="13">
        <f>IF(INDEX('03 VAT return'!$F$56:$F$63,MATCH(F53,'03 VAT return'!$B$56:$B$63,0))="Yes",0,ROUND(H53*G53,2))</f>
        <v>8500</v>
      </c>
      <c r="K53" s="31">
        <f t="shared" si="5"/>
        <v>0.25</v>
      </c>
      <c r="L53" s="12" t="s">
        <v>249</v>
      </c>
      <c r="M53" s="36">
        <v>1</v>
      </c>
      <c r="N53" s="13">
        <v>34000</v>
      </c>
      <c r="O53" s="13">
        <v>8500</v>
      </c>
      <c r="P53" s="13">
        <f>IF(INDEX('03 VAT return'!$F$56:$F$63,MATCH(F53,'03 VAT return'!$B$56:$B$63,0))="Yes",ROUND(N53*G53,2),0)</f>
        <v>0</v>
      </c>
      <c r="Q53" s="13">
        <f>IF(INDEX('03 VAT return'!$D$56:$D$63,MATCH(F53,'03 VAT return'!$B$56:$B$63,0))="AP",O53+P53,0)</f>
        <v>0</v>
      </c>
      <c r="R53" s="12" t="s">
        <v>275</v>
      </c>
      <c r="S53" s="12">
        <v>5</v>
      </c>
      <c r="T53" s="13">
        <v>6800</v>
      </c>
    </row>
    <row r="54" spans="2:20" x14ac:dyDescent="0.3">
      <c r="B54" s="37">
        <f t="shared" si="4"/>
        <v>0</v>
      </c>
      <c r="C54" s="8" t="s">
        <v>510</v>
      </c>
      <c r="D54" s="8" t="s">
        <v>406</v>
      </c>
      <c r="E54" s="8" t="s">
        <v>505</v>
      </c>
      <c r="F54" s="8" t="s">
        <v>270</v>
      </c>
      <c r="G54" s="30">
        <f>INDEX('03 VAT return'!$E$56:$E$63,MATCH(F54,'03 VAT return'!$B$56:$B$63,0))</f>
        <v>0.25</v>
      </c>
      <c r="H54" s="9">
        <v>84000</v>
      </c>
      <c r="I54" s="9">
        <v>21000</v>
      </c>
      <c r="J54" s="9">
        <f>IF(INDEX('03 VAT return'!$F$56:$F$63,MATCH(F54,'03 VAT return'!$B$56:$B$63,0))="Yes",0,ROUND(H54*G54,2))</f>
        <v>21000</v>
      </c>
      <c r="K54" s="30">
        <f t="shared" si="5"/>
        <v>0.25</v>
      </c>
      <c r="L54" s="8" t="s">
        <v>249</v>
      </c>
      <c r="M54" s="35">
        <v>1</v>
      </c>
      <c r="N54" s="9">
        <v>84000</v>
      </c>
      <c r="O54" s="9">
        <v>21000</v>
      </c>
      <c r="P54" s="9">
        <f>IF(INDEX('03 VAT return'!$F$56:$F$63,MATCH(F54,'03 VAT return'!$B$56:$B$63,0))="Yes",ROUND(N54*G54,2),0)</f>
        <v>0</v>
      </c>
      <c r="Q54" s="9">
        <f>IF(INDEX('03 VAT return'!$D$56:$D$63,MATCH(F54,'03 VAT return'!$B$56:$B$63,0))="AP",O54+P54,0)</f>
        <v>0</v>
      </c>
      <c r="R54" s="8" t="s">
        <v>275</v>
      </c>
      <c r="S54" s="8">
        <v>10</v>
      </c>
      <c r="T54" s="9">
        <v>8400</v>
      </c>
    </row>
    <row r="55" spans="2:20" x14ac:dyDescent="0.3">
      <c r="B55" s="38">
        <f t="shared" si="4"/>
        <v>0</v>
      </c>
      <c r="C55" s="12" t="s">
        <v>511</v>
      </c>
      <c r="D55" s="12" t="s">
        <v>406</v>
      </c>
      <c r="E55" s="12" t="s">
        <v>507</v>
      </c>
      <c r="F55" s="12" t="s">
        <v>270</v>
      </c>
      <c r="G55" s="31">
        <f>INDEX('03 VAT return'!$E$56:$E$63,MATCH(F55,'03 VAT return'!$B$56:$B$63,0))</f>
        <v>0.25</v>
      </c>
      <c r="H55" s="13">
        <v>56000</v>
      </c>
      <c r="I55" s="13">
        <v>14000</v>
      </c>
      <c r="J55" s="13">
        <f>IF(INDEX('03 VAT return'!$F$56:$F$63,MATCH(F55,'03 VAT return'!$B$56:$B$63,0))="Yes",0,ROUND(H55*G55,2))</f>
        <v>14000</v>
      </c>
      <c r="K55" s="31">
        <f t="shared" si="5"/>
        <v>0.25</v>
      </c>
      <c r="L55" s="12" t="s">
        <v>249</v>
      </c>
      <c r="M55" s="36">
        <v>1</v>
      </c>
      <c r="N55" s="13">
        <v>56000</v>
      </c>
      <c r="O55" s="13">
        <v>14000</v>
      </c>
      <c r="P55" s="13">
        <f>IF(INDEX('03 VAT return'!$F$56:$F$63,MATCH(F55,'03 VAT return'!$B$56:$B$63,0))="Yes",ROUND(N55*G55,2),0)</f>
        <v>0</v>
      </c>
      <c r="Q55" s="13">
        <f>IF(INDEX('03 VAT return'!$D$56:$D$63,MATCH(F55,'03 VAT return'!$B$56:$B$63,0))="AP",O55+P55,0)</f>
        <v>0</v>
      </c>
      <c r="R55" s="12" t="s">
        <v>275</v>
      </c>
      <c r="S55" s="12">
        <v>5</v>
      </c>
      <c r="T55" s="13">
        <v>11200</v>
      </c>
    </row>
    <row r="56" spans="2:20" x14ac:dyDescent="0.3">
      <c r="B56" s="37">
        <f t="shared" si="4"/>
        <v>0</v>
      </c>
      <c r="C56" s="8" t="s">
        <v>512</v>
      </c>
      <c r="D56" s="8" t="s">
        <v>409</v>
      </c>
      <c r="E56" s="8" t="s">
        <v>505</v>
      </c>
      <c r="F56" s="8" t="s">
        <v>270</v>
      </c>
      <c r="G56" s="30">
        <f>INDEX('03 VAT return'!$E$56:$E$63,MATCH(F56,'03 VAT return'!$B$56:$B$63,0))</f>
        <v>0.25</v>
      </c>
      <c r="H56" s="9">
        <v>57600</v>
      </c>
      <c r="I56" s="9">
        <v>14400</v>
      </c>
      <c r="J56" s="9">
        <f>IF(INDEX('03 VAT return'!$F$56:$F$63,MATCH(F56,'03 VAT return'!$B$56:$B$63,0))="Yes",0,ROUND(H56*G56,2))</f>
        <v>14400</v>
      </c>
      <c r="K56" s="30">
        <f t="shared" si="5"/>
        <v>0.25</v>
      </c>
      <c r="L56" s="8" t="s">
        <v>249</v>
      </c>
      <c r="M56" s="35">
        <v>1</v>
      </c>
      <c r="N56" s="9">
        <v>57600</v>
      </c>
      <c r="O56" s="9">
        <v>14400</v>
      </c>
      <c r="P56" s="9">
        <f>IF(INDEX('03 VAT return'!$F$56:$F$63,MATCH(F56,'03 VAT return'!$B$56:$B$63,0))="Yes",ROUND(N56*G56,2),0)</f>
        <v>0</v>
      </c>
      <c r="Q56" s="9">
        <f>IF(INDEX('03 VAT return'!$D$56:$D$63,MATCH(F56,'03 VAT return'!$B$56:$B$63,0))="AP",O56+P56,0)</f>
        <v>0</v>
      </c>
      <c r="R56" s="8" t="s">
        <v>275</v>
      </c>
      <c r="S56" s="8">
        <v>10</v>
      </c>
      <c r="T56" s="9">
        <v>5760</v>
      </c>
    </row>
    <row r="57" spans="2:20" x14ac:dyDescent="0.3">
      <c r="B57" s="38">
        <f t="shared" si="4"/>
        <v>0</v>
      </c>
      <c r="C57" s="12" t="s">
        <v>513</v>
      </c>
      <c r="D57" s="12" t="s">
        <v>409</v>
      </c>
      <c r="E57" s="12" t="s">
        <v>507</v>
      </c>
      <c r="F57" s="12" t="s">
        <v>270</v>
      </c>
      <c r="G57" s="31">
        <f>INDEX('03 VAT return'!$E$56:$E$63,MATCH(F57,'03 VAT return'!$B$56:$B$63,0))</f>
        <v>0.25</v>
      </c>
      <c r="H57" s="13">
        <v>38400</v>
      </c>
      <c r="I57" s="13">
        <v>9600</v>
      </c>
      <c r="J57" s="13">
        <f>IF(INDEX('03 VAT return'!$F$56:$F$63,MATCH(F57,'03 VAT return'!$B$56:$B$63,0))="Yes",0,ROUND(H57*G57,2))</f>
        <v>9600</v>
      </c>
      <c r="K57" s="31">
        <f t="shared" si="5"/>
        <v>0.25</v>
      </c>
      <c r="L57" s="12" t="s">
        <v>249</v>
      </c>
      <c r="M57" s="36">
        <v>1</v>
      </c>
      <c r="N57" s="13">
        <v>38400</v>
      </c>
      <c r="O57" s="13">
        <v>9600</v>
      </c>
      <c r="P57" s="13">
        <f>IF(INDEX('03 VAT return'!$F$56:$F$63,MATCH(F57,'03 VAT return'!$B$56:$B$63,0))="Yes",ROUND(N57*G57,2),0)</f>
        <v>0</v>
      </c>
      <c r="Q57" s="13">
        <f>IF(INDEX('03 VAT return'!$D$56:$D$63,MATCH(F57,'03 VAT return'!$B$56:$B$63,0))="AP",O57+P57,0)</f>
        <v>0</v>
      </c>
      <c r="R57" s="12" t="s">
        <v>275</v>
      </c>
      <c r="S57" s="12">
        <v>5</v>
      </c>
      <c r="T57" s="13">
        <v>7680</v>
      </c>
    </row>
    <row r="58" spans="2:20" x14ac:dyDescent="0.3">
      <c r="B58" s="37">
        <f t="shared" si="4"/>
        <v>0</v>
      </c>
      <c r="C58" s="8" t="s">
        <v>514</v>
      </c>
      <c r="D58" s="8" t="s">
        <v>412</v>
      </c>
      <c r="E58" s="8" t="s">
        <v>505</v>
      </c>
      <c r="F58" s="8" t="s">
        <v>270</v>
      </c>
      <c r="G58" s="30">
        <f>INDEX('03 VAT return'!$E$56:$E$63,MATCH(F58,'03 VAT return'!$B$56:$B$63,0))</f>
        <v>0.25</v>
      </c>
      <c r="H58" s="9">
        <v>67200</v>
      </c>
      <c r="I58" s="9">
        <v>16800</v>
      </c>
      <c r="J58" s="9">
        <f>IF(INDEX('03 VAT return'!$F$56:$F$63,MATCH(F58,'03 VAT return'!$B$56:$B$63,0))="Yes",0,ROUND(H58*G58,2))</f>
        <v>16800</v>
      </c>
      <c r="K58" s="30">
        <f t="shared" si="5"/>
        <v>0.25</v>
      </c>
      <c r="L58" s="8" t="s">
        <v>249</v>
      </c>
      <c r="M58" s="35">
        <v>1</v>
      </c>
      <c r="N58" s="9">
        <v>67200</v>
      </c>
      <c r="O58" s="9">
        <v>16800</v>
      </c>
      <c r="P58" s="9">
        <f>IF(INDEX('03 VAT return'!$F$56:$F$63,MATCH(F58,'03 VAT return'!$B$56:$B$63,0))="Yes",ROUND(N58*G58,2),0)</f>
        <v>0</v>
      </c>
      <c r="Q58" s="9">
        <f>IF(INDEX('03 VAT return'!$D$56:$D$63,MATCH(F58,'03 VAT return'!$B$56:$B$63,0))="AP",O58+P58,0)</f>
        <v>0</v>
      </c>
      <c r="R58" s="8" t="s">
        <v>275</v>
      </c>
      <c r="S58" s="8">
        <v>10</v>
      </c>
      <c r="T58" s="9">
        <v>6720</v>
      </c>
    </row>
    <row r="59" spans="2:20" x14ac:dyDescent="0.3">
      <c r="B59" s="38">
        <f t="shared" si="4"/>
        <v>0</v>
      </c>
      <c r="C59" s="12" t="s">
        <v>515</v>
      </c>
      <c r="D59" s="12" t="s">
        <v>412</v>
      </c>
      <c r="E59" s="12" t="s">
        <v>507</v>
      </c>
      <c r="F59" s="12" t="s">
        <v>270</v>
      </c>
      <c r="G59" s="31">
        <f>INDEX('03 VAT return'!$E$56:$E$63,MATCH(F59,'03 VAT return'!$B$56:$B$63,0))</f>
        <v>0.25</v>
      </c>
      <c r="H59" s="13">
        <v>44800</v>
      </c>
      <c r="I59" s="13">
        <v>11200</v>
      </c>
      <c r="J59" s="13">
        <f>IF(INDEX('03 VAT return'!$F$56:$F$63,MATCH(F59,'03 VAT return'!$B$56:$B$63,0))="Yes",0,ROUND(H59*G59,2))</f>
        <v>11200</v>
      </c>
      <c r="K59" s="31">
        <f t="shared" si="5"/>
        <v>0.25</v>
      </c>
      <c r="L59" s="12" t="s">
        <v>249</v>
      </c>
      <c r="M59" s="36">
        <v>1</v>
      </c>
      <c r="N59" s="13">
        <v>44800</v>
      </c>
      <c r="O59" s="13">
        <v>11200</v>
      </c>
      <c r="P59" s="13">
        <f>IF(INDEX('03 VAT return'!$F$56:$F$63,MATCH(F59,'03 VAT return'!$B$56:$B$63,0))="Yes",ROUND(N59*G59,2),0)</f>
        <v>0</v>
      </c>
      <c r="Q59" s="13">
        <f>IF(INDEX('03 VAT return'!$D$56:$D$63,MATCH(F59,'03 VAT return'!$B$56:$B$63,0))="AP",O59+P59,0)</f>
        <v>0</v>
      </c>
      <c r="R59" s="12" t="s">
        <v>275</v>
      </c>
      <c r="S59" s="12">
        <v>5</v>
      </c>
      <c r="T59" s="13">
        <v>8960</v>
      </c>
    </row>
    <row r="60" spans="2:20" x14ac:dyDescent="0.3">
      <c r="B60" s="37">
        <f t="shared" si="4"/>
        <v>0</v>
      </c>
      <c r="C60" s="8" t="s">
        <v>516</v>
      </c>
      <c r="D60" s="8" t="s">
        <v>415</v>
      </c>
      <c r="E60" s="8" t="s">
        <v>505</v>
      </c>
      <c r="F60" s="8" t="s">
        <v>270</v>
      </c>
      <c r="G60" s="30">
        <f>INDEX('03 VAT return'!$E$56:$E$63,MATCH(F60,'03 VAT return'!$B$56:$B$63,0))</f>
        <v>0.25</v>
      </c>
      <c r="H60" s="9">
        <v>45000</v>
      </c>
      <c r="I60" s="9">
        <v>11250</v>
      </c>
      <c r="J60" s="9">
        <f>IF(INDEX('03 VAT return'!$F$56:$F$63,MATCH(F60,'03 VAT return'!$B$56:$B$63,0))="Yes",0,ROUND(H60*G60,2))</f>
        <v>11250</v>
      </c>
      <c r="K60" s="30">
        <f t="shared" si="5"/>
        <v>0.25</v>
      </c>
      <c r="L60" s="8" t="s">
        <v>249</v>
      </c>
      <c r="M60" s="35">
        <v>1</v>
      </c>
      <c r="N60" s="9">
        <v>45000</v>
      </c>
      <c r="O60" s="9">
        <v>11250</v>
      </c>
      <c r="P60" s="9">
        <f>IF(INDEX('03 VAT return'!$F$56:$F$63,MATCH(F60,'03 VAT return'!$B$56:$B$63,0))="Yes",ROUND(N60*G60,2),0)</f>
        <v>0</v>
      </c>
      <c r="Q60" s="9">
        <f>IF(INDEX('03 VAT return'!$D$56:$D$63,MATCH(F60,'03 VAT return'!$B$56:$B$63,0))="AP",O60+P60,0)</f>
        <v>0</v>
      </c>
      <c r="R60" s="8" t="s">
        <v>275</v>
      </c>
      <c r="S60" s="8">
        <v>10</v>
      </c>
      <c r="T60" s="9">
        <v>4500</v>
      </c>
    </row>
    <row r="61" spans="2:20" x14ac:dyDescent="0.3">
      <c r="B61" s="38">
        <f t="shared" si="4"/>
        <v>0</v>
      </c>
      <c r="C61" s="12" t="s">
        <v>517</v>
      </c>
      <c r="D61" s="12" t="s">
        <v>415</v>
      </c>
      <c r="E61" s="12" t="s">
        <v>507</v>
      </c>
      <c r="F61" s="12" t="s">
        <v>270</v>
      </c>
      <c r="G61" s="31">
        <f>INDEX('03 VAT return'!$E$56:$E$63,MATCH(F61,'03 VAT return'!$B$56:$B$63,0))</f>
        <v>0.25</v>
      </c>
      <c r="H61" s="13">
        <v>30000</v>
      </c>
      <c r="I61" s="13">
        <v>7500</v>
      </c>
      <c r="J61" s="13">
        <f>IF(INDEX('03 VAT return'!$F$56:$F$63,MATCH(F61,'03 VAT return'!$B$56:$B$63,0))="Yes",0,ROUND(H61*G61,2))</f>
        <v>7500</v>
      </c>
      <c r="K61" s="31">
        <f t="shared" si="5"/>
        <v>0.25</v>
      </c>
      <c r="L61" s="12" t="s">
        <v>249</v>
      </c>
      <c r="M61" s="36">
        <v>1</v>
      </c>
      <c r="N61" s="13">
        <v>30000</v>
      </c>
      <c r="O61" s="13">
        <v>7500</v>
      </c>
      <c r="P61" s="13">
        <f>IF(INDEX('03 VAT return'!$F$56:$F$63,MATCH(F61,'03 VAT return'!$B$56:$B$63,0))="Yes",ROUND(N61*G61,2),0)</f>
        <v>0</v>
      </c>
      <c r="Q61" s="13">
        <f>IF(INDEX('03 VAT return'!$D$56:$D$63,MATCH(F61,'03 VAT return'!$B$56:$B$63,0))="AP",O61+P61,0)</f>
        <v>0</v>
      </c>
      <c r="R61" s="12" t="s">
        <v>275</v>
      </c>
      <c r="S61" s="12">
        <v>5</v>
      </c>
      <c r="T61" s="13">
        <v>6000</v>
      </c>
    </row>
    <row r="62" spans="2:20" x14ac:dyDescent="0.3">
      <c r="B62" s="37">
        <f t="shared" si="4"/>
        <v>0</v>
      </c>
      <c r="C62" s="8" t="s">
        <v>518</v>
      </c>
      <c r="D62" s="8" t="s">
        <v>418</v>
      </c>
      <c r="E62" s="8" t="s">
        <v>505</v>
      </c>
      <c r="F62" s="8" t="s">
        <v>270</v>
      </c>
      <c r="G62" s="30">
        <f>INDEX('03 VAT return'!$E$56:$E$63,MATCH(F62,'03 VAT return'!$B$56:$B$63,0))</f>
        <v>0.25</v>
      </c>
      <c r="H62" s="9">
        <v>108000</v>
      </c>
      <c r="I62" s="9">
        <v>27000</v>
      </c>
      <c r="J62" s="9">
        <f>IF(INDEX('03 VAT return'!$F$56:$F$63,MATCH(F62,'03 VAT return'!$B$56:$B$63,0))="Yes",0,ROUND(H62*G62,2))</f>
        <v>27000</v>
      </c>
      <c r="K62" s="30">
        <f t="shared" si="5"/>
        <v>0.25</v>
      </c>
      <c r="L62" s="8" t="s">
        <v>249</v>
      </c>
      <c r="M62" s="35">
        <v>1</v>
      </c>
      <c r="N62" s="9">
        <v>108000</v>
      </c>
      <c r="O62" s="9">
        <v>27000</v>
      </c>
      <c r="P62" s="9">
        <f>IF(INDEX('03 VAT return'!$F$56:$F$63,MATCH(F62,'03 VAT return'!$B$56:$B$63,0))="Yes",ROUND(N62*G62,2),0)</f>
        <v>0</v>
      </c>
      <c r="Q62" s="9">
        <f>IF(INDEX('03 VAT return'!$D$56:$D$63,MATCH(F62,'03 VAT return'!$B$56:$B$63,0))="AP",O62+P62,0)</f>
        <v>0</v>
      </c>
      <c r="R62" s="8" t="s">
        <v>275</v>
      </c>
      <c r="S62" s="8">
        <v>10</v>
      </c>
      <c r="T62" s="9">
        <v>10800</v>
      </c>
    </row>
    <row r="63" spans="2:20" x14ac:dyDescent="0.3">
      <c r="B63" s="38">
        <f t="shared" si="4"/>
        <v>0</v>
      </c>
      <c r="C63" s="12" t="s">
        <v>519</v>
      </c>
      <c r="D63" s="12" t="s">
        <v>418</v>
      </c>
      <c r="E63" s="12" t="s">
        <v>507</v>
      </c>
      <c r="F63" s="12" t="s">
        <v>270</v>
      </c>
      <c r="G63" s="31">
        <f>INDEX('03 VAT return'!$E$56:$E$63,MATCH(F63,'03 VAT return'!$B$56:$B$63,0))</f>
        <v>0.25</v>
      </c>
      <c r="H63" s="13">
        <v>72000</v>
      </c>
      <c r="I63" s="13">
        <v>18000</v>
      </c>
      <c r="J63" s="13">
        <f>IF(INDEX('03 VAT return'!$F$56:$F$63,MATCH(F63,'03 VAT return'!$B$56:$B$63,0))="Yes",0,ROUND(H63*G63,2))</f>
        <v>18000</v>
      </c>
      <c r="K63" s="31">
        <f t="shared" si="5"/>
        <v>0.25</v>
      </c>
      <c r="L63" s="12" t="s">
        <v>249</v>
      </c>
      <c r="M63" s="36">
        <v>1</v>
      </c>
      <c r="N63" s="13">
        <v>72000</v>
      </c>
      <c r="O63" s="13">
        <v>18000</v>
      </c>
      <c r="P63" s="13">
        <f>IF(INDEX('03 VAT return'!$F$56:$F$63,MATCH(F63,'03 VAT return'!$B$56:$B$63,0))="Yes",ROUND(N63*G63,2),0)</f>
        <v>0</v>
      </c>
      <c r="Q63" s="13">
        <f>IF(INDEX('03 VAT return'!$D$56:$D$63,MATCH(F63,'03 VAT return'!$B$56:$B$63,0))="AP",O63+P63,0)</f>
        <v>0</v>
      </c>
      <c r="R63" s="12" t="s">
        <v>275</v>
      </c>
      <c r="S63" s="12">
        <v>5</v>
      </c>
      <c r="T63" s="13">
        <v>14400</v>
      </c>
    </row>
    <row r="64" spans="2:20" x14ac:dyDescent="0.3">
      <c r="B64" s="37">
        <f t="shared" si="4"/>
        <v>0</v>
      </c>
      <c r="C64" s="8" t="s">
        <v>520</v>
      </c>
      <c r="D64" s="8" t="s">
        <v>419</v>
      </c>
      <c r="E64" s="8" t="s">
        <v>505</v>
      </c>
      <c r="F64" s="8" t="s">
        <v>270</v>
      </c>
      <c r="G64" s="30">
        <f>INDEX('03 VAT return'!$E$56:$E$63,MATCH(F64,'03 VAT return'!$B$56:$B$63,0))</f>
        <v>0.25</v>
      </c>
      <c r="H64" s="9">
        <v>39000</v>
      </c>
      <c r="I64" s="9">
        <v>9750</v>
      </c>
      <c r="J64" s="9">
        <f>IF(INDEX('03 VAT return'!$F$56:$F$63,MATCH(F64,'03 VAT return'!$B$56:$B$63,0))="Yes",0,ROUND(H64*G64,2))</f>
        <v>9750</v>
      </c>
      <c r="K64" s="30">
        <f t="shared" si="5"/>
        <v>0.25</v>
      </c>
      <c r="L64" s="8" t="s">
        <v>249</v>
      </c>
      <c r="M64" s="35">
        <v>1</v>
      </c>
      <c r="N64" s="9">
        <v>39000</v>
      </c>
      <c r="O64" s="9">
        <v>9750</v>
      </c>
      <c r="P64" s="9">
        <f>IF(INDEX('03 VAT return'!$F$56:$F$63,MATCH(F64,'03 VAT return'!$B$56:$B$63,0))="Yes",ROUND(N64*G64,2),0)</f>
        <v>0</v>
      </c>
      <c r="Q64" s="9">
        <f>IF(INDEX('03 VAT return'!$D$56:$D$63,MATCH(F64,'03 VAT return'!$B$56:$B$63,0))="AP",O64+P64,0)</f>
        <v>0</v>
      </c>
      <c r="R64" s="8" t="s">
        <v>275</v>
      </c>
      <c r="S64" s="8">
        <v>10</v>
      </c>
      <c r="T64" s="9">
        <v>3900</v>
      </c>
    </row>
    <row r="65" spans="2:20" x14ac:dyDescent="0.3">
      <c r="B65" s="38">
        <f t="shared" si="4"/>
        <v>0</v>
      </c>
      <c r="C65" s="12" t="s">
        <v>521</v>
      </c>
      <c r="D65" s="12" t="s">
        <v>419</v>
      </c>
      <c r="E65" s="12" t="s">
        <v>507</v>
      </c>
      <c r="F65" s="12" t="s">
        <v>270</v>
      </c>
      <c r="G65" s="31">
        <f>INDEX('03 VAT return'!$E$56:$E$63,MATCH(F65,'03 VAT return'!$B$56:$B$63,0))</f>
        <v>0.25</v>
      </c>
      <c r="H65" s="13">
        <v>26000</v>
      </c>
      <c r="I65" s="13">
        <v>6500</v>
      </c>
      <c r="J65" s="13">
        <f>IF(INDEX('03 VAT return'!$F$56:$F$63,MATCH(F65,'03 VAT return'!$B$56:$B$63,0))="Yes",0,ROUND(H65*G65,2))</f>
        <v>6500</v>
      </c>
      <c r="K65" s="31">
        <f t="shared" si="5"/>
        <v>0.25</v>
      </c>
      <c r="L65" s="12" t="s">
        <v>249</v>
      </c>
      <c r="M65" s="36">
        <v>1</v>
      </c>
      <c r="N65" s="13">
        <v>26000</v>
      </c>
      <c r="O65" s="13">
        <v>6500</v>
      </c>
      <c r="P65" s="13">
        <f>IF(INDEX('03 VAT return'!$F$56:$F$63,MATCH(F65,'03 VAT return'!$B$56:$B$63,0))="Yes",ROUND(N65*G65,2),0)</f>
        <v>0</v>
      </c>
      <c r="Q65" s="13">
        <f>IF(INDEX('03 VAT return'!$D$56:$D$63,MATCH(F65,'03 VAT return'!$B$56:$B$63,0))="AP",O65+P65,0)</f>
        <v>0</v>
      </c>
      <c r="R65" s="12" t="s">
        <v>275</v>
      </c>
      <c r="S65" s="12">
        <v>5</v>
      </c>
      <c r="T65" s="13">
        <v>5200</v>
      </c>
    </row>
    <row r="66" spans="2:20" x14ac:dyDescent="0.3">
      <c r="B66" s="37">
        <f t="shared" si="4"/>
        <v>0</v>
      </c>
      <c r="C66" s="8" t="s">
        <v>522</v>
      </c>
      <c r="D66" s="8" t="s">
        <v>420</v>
      </c>
      <c r="E66" s="8" t="s">
        <v>505</v>
      </c>
      <c r="F66" s="8" t="s">
        <v>270</v>
      </c>
      <c r="G66" s="30">
        <f>INDEX('03 VAT return'!$E$56:$E$63,MATCH(F66,'03 VAT return'!$B$56:$B$63,0))</f>
        <v>0.25</v>
      </c>
      <c r="H66" s="9">
        <v>94200</v>
      </c>
      <c r="I66" s="9">
        <v>23550</v>
      </c>
      <c r="J66" s="9">
        <f>IF(INDEX('03 VAT return'!$F$56:$F$63,MATCH(F66,'03 VAT return'!$B$56:$B$63,0))="Yes",0,ROUND(H66*G66,2))</f>
        <v>23550</v>
      </c>
      <c r="K66" s="30">
        <f t="shared" si="5"/>
        <v>0.25</v>
      </c>
      <c r="L66" s="8" t="s">
        <v>249</v>
      </c>
      <c r="M66" s="35">
        <v>1</v>
      </c>
      <c r="N66" s="9">
        <v>94200</v>
      </c>
      <c r="O66" s="9">
        <v>23550</v>
      </c>
      <c r="P66" s="9">
        <f>IF(INDEX('03 VAT return'!$F$56:$F$63,MATCH(F66,'03 VAT return'!$B$56:$B$63,0))="Yes",ROUND(N66*G66,2),0)</f>
        <v>0</v>
      </c>
      <c r="Q66" s="9">
        <f>IF(INDEX('03 VAT return'!$D$56:$D$63,MATCH(F66,'03 VAT return'!$B$56:$B$63,0))="AP",O66+P66,0)</f>
        <v>0</v>
      </c>
      <c r="R66" s="8" t="s">
        <v>275</v>
      </c>
      <c r="S66" s="8">
        <v>10</v>
      </c>
      <c r="T66" s="9">
        <v>9420</v>
      </c>
    </row>
    <row r="67" spans="2:20" x14ac:dyDescent="0.3">
      <c r="B67" s="38">
        <f t="shared" si="4"/>
        <v>0</v>
      </c>
      <c r="C67" s="12" t="s">
        <v>523</v>
      </c>
      <c r="D67" s="12" t="s">
        <v>420</v>
      </c>
      <c r="E67" s="12" t="s">
        <v>507</v>
      </c>
      <c r="F67" s="12" t="s">
        <v>270</v>
      </c>
      <c r="G67" s="31">
        <f>INDEX('03 VAT return'!$E$56:$E$63,MATCH(F67,'03 VAT return'!$B$56:$B$63,0))</f>
        <v>0.25</v>
      </c>
      <c r="H67" s="13">
        <v>62800</v>
      </c>
      <c r="I67" s="13">
        <v>15700</v>
      </c>
      <c r="J67" s="13">
        <f>IF(INDEX('03 VAT return'!$F$56:$F$63,MATCH(F67,'03 VAT return'!$B$56:$B$63,0))="Yes",0,ROUND(H67*G67,2))</f>
        <v>15700</v>
      </c>
      <c r="K67" s="31">
        <f t="shared" si="5"/>
        <v>0.25</v>
      </c>
      <c r="L67" s="12" t="s">
        <v>249</v>
      </c>
      <c r="M67" s="36">
        <v>1</v>
      </c>
      <c r="N67" s="13">
        <v>62800</v>
      </c>
      <c r="O67" s="13">
        <v>15700</v>
      </c>
      <c r="P67" s="13">
        <f>IF(INDEX('03 VAT return'!$F$56:$F$63,MATCH(F67,'03 VAT return'!$B$56:$B$63,0))="Yes",ROUND(N67*G67,2),0)</f>
        <v>0</v>
      </c>
      <c r="Q67" s="13">
        <f>IF(INDEX('03 VAT return'!$D$56:$D$63,MATCH(F67,'03 VAT return'!$B$56:$B$63,0))="AP",O67+P67,0)</f>
        <v>0</v>
      </c>
      <c r="R67" s="12" t="s">
        <v>275</v>
      </c>
      <c r="S67" s="12">
        <v>5</v>
      </c>
      <c r="T67" s="13">
        <v>12560</v>
      </c>
    </row>
    <row r="68" spans="2:20" x14ac:dyDescent="0.3">
      <c r="B68" s="37">
        <f t="shared" si="4"/>
        <v>0</v>
      </c>
      <c r="C68" s="8" t="s">
        <v>524</v>
      </c>
      <c r="D68" s="8" t="s">
        <v>421</v>
      </c>
      <c r="E68" s="8" t="s">
        <v>505</v>
      </c>
      <c r="F68" s="8" t="s">
        <v>270</v>
      </c>
      <c r="G68" s="30">
        <f>INDEX('03 VAT return'!$E$56:$E$63,MATCH(F68,'03 VAT return'!$B$56:$B$63,0))</f>
        <v>0.25</v>
      </c>
      <c r="H68" s="9">
        <v>57000</v>
      </c>
      <c r="I68" s="9">
        <v>14250</v>
      </c>
      <c r="J68" s="9">
        <f>IF(INDEX('03 VAT return'!$F$56:$F$63,MATCH(F68,'03 VAT return'!$B$56:$B$63,0))="Yes",0,ROUND(H68*G68,2))</f>
        <v>14250</v>
      </c>
      <c r="K68" s="30">
        <f t="shared" si="5"/>
        <v>0.25</v>
      </c>
      <c r="L68" s="8" t="s">
        <v>249</v>
      </c>
      <c r="M68" s="35">
        <v>1</v>
      </c>
      <c r="N68" s="9">
        <v>57000</v>
      </c>
      <c r="O68" s="9">
        <v>14250</v>
      </c>
      <c r="P68" s="9">
        <f>IF(INDEX('03 VAT return'!$F$56:$F$63,MATCH(F68,'03 VAT return'!$B$56:$B$63,0))="Yes",ROUND(N68*G68,2),0)</f>
        <v>0</v>
      </c>
      <c r="Q68" s="9">
        <f>IF(INDEX('03 VAT return'!$D$56:$D$63,MATCH(F68,'03 VAT return'!$B$56:$B$63,0))="AP",O68+P68,0)</f>
        <v>0</v>
      </c>
      <c r="R68" s="8" t="s">
        <v>275</v>
      </c>
      <c r="S68" s="8">
        <v>10</v>
      </c>
      <c r="T68" s="9">
        <v>5700</v>
      </c>
    </row>
    <row r="69" spans="2:20" x14ac:dyDescent="0.3">
      <c r="B69" s="38">
        <f t="shared" si="4"/>
        <v>0</v>
      </c>
      <c r="C69" s="12" t="s">
        <v>525</v>
      </c>
      <c r="D69" s="12" t="s">
        <v>421</v>
      </c>
      <c r="E69" s="12" t="s">
        <v>507</v>
      </c>
      <c r="F69" s="12" t="s">
        <v>270</v>
      </c>
      <c r="G69" s="31">
        <f>INDEX('03 VAT return'!$E$56:$E$63,MATCH(F69,'03 VAT return'!$B$56:$B$63,0))</f>
        <v>0.25</v>
      </c>
      <c r="H69" s="13">
        <v>38000</v>
      </c>
      <c r="I69" s="13">
        <v>9500</v>
      </c>
      <c r="J69" s="13">
        <f>IF(INDEX('03 VAT return'!$F$56:$F$63,MATCH(F69,'03 VAT return'!$B$56:$B$63,0))="Yes",0,ROUND(H69*G69,2))</f>
        <v>9500</v>
      </c>
      <c r="K69" s="31">
        <f t="shared" si="5"/>
        <v>0.25</v>
      </c>
      <c r="L69" s="12" t="s">
        <v>249</v>
      </c>
      <c r="M69" s="36">
        <v>1</v>
      </c>
      <c r="N69" s="13">
        <v>38000</v>
      </c>
      <c r="O69" s="13">
        <v>9500</v>
      </c>
      <c r="P69" s="13">
        <f>IF(INDEX('03 VAT return'!$F$56:$F$63,MATCH(F69,'03 VAT return'!$B$56:$B$63,0))="Yes",ROUND(N69*G69,2),0)</f>
        <v>0</v>
      </c>
      <c r="Q69" s="13">
        <f>IF(INDEX('03 VAT return'!$D$56:$D$63,MATCH(F69,'03 VAT return'!$B$56:$B$63,0))="AP",O69+P69,0)</f>
        <v>0</v>
      </c>
      <c r="R69" s="12" t="s">
        <v>275</v>
      </c>
      <c r="S69" s="12">
        <v>5</v>
      </c>
      <c r="T69" s="13">
        <v>7600</v>
      </c>
    </row>
    <row r="70" spans="2:20" x14ac:dyDescent="0.3">
      <c r="B70" s="37">
        <f t="shared" si="4"/>
        <v>0</v>
      </c>
      <c r="C70" s="8" t="s">
        <v>526</v>
      </c>
      <c r="D70" s="8" t="s">
        <v>422</v>
      </c>
      <c r="E70" s="8" t="s">
        <v>505</v>
      </c>
      <c r="F70" s="8" t="s">
        <v>270</v>
      </c>
      <c r="G70" s="30">
        <f>INDEX('03 VAT return'!$E$56:$E$63,MATCH(F70,'03 VAT return'!$B$56:$B$63,0))</f>
        <v>0.25</v>
      </c>
      <c r="H70" s="9">
        <v>90000</v>
      </c>
      <c r="I70" s="9">
        <v>22500</v>
      </c>
      <c r="J70" s="9">
        <f>IF(INDEX('03 VAT return'!$F$56:$F$63,MATCH(F70,'03 VAT return'!$B$56:$B$63,0))="Yes",0,ROUND(H70*G70,2))</f>
        <v>22500</v>
      </c>
      <c r="K70" s="30">
        <f t="shared" si="5"/>
        <v>0.25</v>
      </c>
      <c r="L70" s="8" t="s">
        <v>249</v>
      </c>
      <c r="M70" s="35">
        <v>1</v>
      </c>
      <c r="N70" s="9">
        <v>90000</v>
      </c>
      <c r="O70" s="9">
        <v>22500</v>
      </c>
      <c r="P70" s="9">
        <f>IF(INDEX('03 VAT return'!$F$56:$F$63,MATCH(F70,'03 VAT return'!$B$56:$B$63,0))="Yes",ROUND(N70*G70,2),0)</f>
        <v>0</v>
      </c>
      <c r="Q70" s="9">
        <f>IF(INDEX('03 VAT return'!$D$56:$D$63,MATCH(F70,'03 VAT return'!$B$56:$B$63,0))="AP",O70+P70,0)</f>
        <v>0</v>
      </c>
      <c r="R70" s="8" t="s">
        <v>275</v>
      </c>
      <c r="S70" s="8">
        <v>10</v>
      </c>
      <c r="T70" s="9">
        <v>9000</v>
      </c>
    </row>
    <row r="71" spans="2:20" x14ac:dyDescent="0.3">
      <c r="B71" s="38">
        <f t="shared" si="4"/>
        <v>0</v>
      </c>
      <c r="C71" s="12" t="s">
        <v>527</v>
      </c>
      <c r="D71" s="12" t="s">
        <v>422</v>
      </c>
      <c r="E71" s="12" t="s">
        <v>507</v>
      </c>
      <c r="F71" s="12" t="s">
        <v>270</v>
      </c>
      <c r="G71" s="31">
        <f>INDEX('03 VAT return'!$E$56:$E$63,MATCH(F71,'03 VAT return'!$B$56:$B$63,0))</f>
        <v>0.25</v>
      </c>
      <c r="H71" s="13">
        <v>60000</v>
      </c>
      <c r="I71" s="13">
        <v>15000</v>
      </c>
      <c r="J71" s="13">
        <f>IF(INDEX('03 VAT return'!$F$56:$F$63,MATCH(F71,'03 VAT return'!$B$56:$B$63,0))="Yes",0,ROUND(H71*G71,2))</f>
        <v>15000</v>
      </c>
      <c r="K71" s="31">
        <f t="shared" si="5"/>
        <v>0.25</v>
      </c>
      <c r="L71" s="12" t="s">
        <v>249</v>
      </c>
      <c r="M71" s="36">
        <v>1</v>
      </c>
      <c r="N71" s="13">
        <v>60000</v>
      </c>
      <c r="O71" s="13">
        <v>15000</v>
      </c>
      <c r="P71" s="13">
        <f>IF(INDEX('03 VAT return'!$F$56:$F$63,MATCH(F71,'03 VAT return'!$B$56:$B$63,0))="Yes",ROUND(N71*G71,2),0)</f>
        <v>0</v>
      </c>
      <c r="Q71" s="13">
        <f>IF(INDEX('03 VAT return'!$D$56:$D$63,MATCH(F71,'03 VAT return'!$B$56:$B$63,0))="AP",O71+P71,0)</f>
        <v>0</v>
      </c>
      <c r="R71" s="12" t="s">
        <v>275</v>
      </c>
      <c r="S71" s="12">
        <v>5</v>
      </c>
      <c r="T71" s="13">
        <v>12000</v>
      </c>
    </row>
    <row r="72" spans="2:20" x14ac:dyDescent="0.3">
      <c r="B72" s="37">
        <f t="shared" si="4"/>
        <v>0</v>
      </c>
      <c r="C72" s="8" t="s">
        <v>528</v>
      </c>
      <c r="D72" s="8" t="s">
        <v>423</v>
      </c>
      <c r="E72" s="8" t="s">
        <v>529</v>
      </c>
      <c r="F72" s="8" t="s">
        <v>270</v>
      </c>
      <c r="G72" s="30">
        <f>INDEX('03 VAT return'!$E$56:$E$63,MATCH(F72,'03 VAT return'!$B$56:$B$63,0))</f>
        <v>0.25</v>
      </c>
      <c r="H72" s="9">
        <v>-15000</v>
      </c>
      <c r="I72" s="9">
        <v>-3750</v>
      </c>
      <c r="J72" s="9">
        <f>IF(INDEX('03 VAT return'!$F$56:$F$63,MATCH(F72,'03 VAT return'!$B$56:$B$63,0))="Yes",0,ROUND(H72*G72,2))</f>
        <v>-3750</v>
      </c>
      <c r="K72" s="30">
        <f t="shared" si="5"/>
        <v>0.25</v>
      </c>
      <c r="L72" s="8" t="s">
        <v>249</v>
      </c>
      <c r="M72" s="35">
        <v>1</v>
      </c>
      <c r="N72" s="9">
        <v>-15000</v>
      </c>
      <c r="O72" s="9">
        <v>-3750</v>
      </c>
      <c r="P72" s="9">
        <f>IF(INDEX('03 VAT return'!$F$56:$F$63,MATCH(F72,'03 VAT return'!$B$56:$B$63,0))="Yes",ROUND(N72*G72,2),0)</f>
        <v>0</v>
      </c>
      <c r="Q72" s="9">
        <f>IF(INDEX('03 VAT return'!$D$56:$D$63,MATCH(F72,'03 VAT return'!$B$56:$B$63,0))="AP",O72+P72,0)</f>
        <v>0</v>
      </c>
      <c r="R72" s="8" t="s">
        <v>275</v>
      </c>
      <c r="S72" s="8">
        <v>1</v>
      </c>
      <c r="T72" s="9">
        <v>-15000</v>
      </c>
    </row>
    <row r="73" spans="2:20" x14ac:dyDescent="0.3">
      <c r="B73" s="38">
        <f t="shared" si="4"/>
        <v>0</v>
      </c>
      <c r="C73" s="12" t="s">
        <v>530</v>
      </c>
      <c r="D73" s="12" t="s">
        <v>423</v>
      </c>
      <c r="E73" s="12" t="s">
        <v>531</v>
      </c>
      <c r="F73" s="12" t="s">
        <v>270</v>
      </c>
      <c r="G73" s="31">
        <f>INDEX('03 VAT return'!$E$56:$E$63,MATCH(F73,'03 VAT return'!$B$56:$B$63,0))</f>
        <v>0.25</v>
      </c>
      <c r="H73" s="13">
        <v>-10000</v>
      </c>
      <c r="I73" s="13">
        <v>-2500</v>
      </c>
      <c r="J73" s="13">
        <f>IF(INDEX('03 VAT return'!$F$56:$F$63,MATCH(F73,'03 VAT return'!$B$56:$B$63,0))="Yes",0,ROUND(H73*G73,2))</f>
        <v>-2500</v>
      </c>
      <c r="K73" s="31">
        <f t="shared" si="5"/>
        <v>0.25</v>
      </c>
      <c r="L73" s="12" t="s">
        <v>249</v>
      </c>
      <c r="M73" s="36">
        <v>1</v>
      </c>
      <c r="N73" s="13">
        <v>-10000</v>
      </c>
      <c r="O73" s="13">
        <v>-2500</v>
      </c>
      <c r="P73" s="13">
        <f>IF(INDEX('03 VAT return'!$F$56:$F$63,MATCH(F73,'03 VAT return'!$B$56:$B$63,0))="Yes",ROUND(N73*G73,2),0)</f>
        <v>0</v>
      </c>
      <c r="Q73" s="13">
        <f>IF(INDEX('03 VAT return'!$D$56:$D$63,MATCH(F73,'03 VAT return'!$B$56:$B$63,0))="AP",O73+P73,0)</f>
        <v>0</v>
      </c>
      <c r="R73" s="12" t="s">
        <v>275</v>
      </c>
      <c r="S73" s="12">
        <v>1</v>
      </c>
      <c r="T73" s="13">
        <v>-10000</v>
      </c>
    </row>
    <row r="74" spans="2:20" x14ac:dyDescent="0.3">
      <c r="B74" s="37">
        <f t="shared" si="4"/>
        <v>0</v>
      </c>
      <c r="C74" s="8" t="s">
        <v>532</v>
      </c>
      <c r="D74" s="8" t="s">
        <v>424</v>
      </c>
      <c r="E74" s="8" t="s">
        <v>533</v>
      </c>
      <c r="F74" s="8" t="s">
        <v>280</v>
      </c>
      <c r="G74" s="30">
        <f>INDEX('03 VAT return'!$E$56:$E$63,MATCH(F74,'03 VAT return'!$B$56:$B$63,0))</f>
        <v>0</v>
      </c>
      <c r="H74" s="9">
        <v>30000</v>
      </c>
      <c r="I74" s="9">
        <v>0</v>
      </c>
      <c r="J74" s="9">
        <f>IF(INDEX('03 VAT return'!$F$56:$F$63,MATCH(F74,'03 VAT return'!$B$56:$B$63,0))="Yes",0,ROUND(H74*G74,2))</f>
        <v>0</v>
      </c>
      <c r="K74" s="30">
        <f t="shared" si="5"/>
        <v>0</v>
      </c>
      <c r="L74" s="8" t="s">
        <v>428</v>
      </c>
      <c r="M74" s="35">
        <v>10.8</v>
      </c>
      <c r="N74" s="9">
        <v>324000</v>
      </c>
      <c r="O74" s="9">
        <v>0</v>
      </c>
      <c r="P74" s="9">
        <f>IF(INDEX('03 VAT return'!$F$56:$F$63,MATCH(F74,'03 VAT return'!$B$56:$B$63,0))="Yes",ROUND(N74*G74,2),0)</f>
        <v>0</v>
      </c>
      <c r="Q74" s="9">
        <f>IF(INDEX('03 VAT return'!$D$56:$D$63,MATCH(F74,'03 VAT return'!$B$56:$B$63,0))="AP",O74+P74,0)</f>
        <v>0</v>
      </c>
      <c r="R74" s="8" t="s">
        <v>282</v>
      </c>
      <c r="S74" s="8">
        <v>1200</v>
      </c>
      <c r="T74" s="9">
        <v>25</v>
      </c>
    </row>
    <row r="75" spans="2:20" x14ac:dyDescent="0.3">
      <c r="B75" s="38">
        <f t="shared" si="4"/>
        <v>0</v>
      </c>
      <c r="C75" s="12" t="s">
        <v>534</v>
      </c>
      <c r="D75" s="12" t="s">
        <v>429</v>
      </c>
      <c r="E75" s="12" t="s">
        <v>533</v>
      </c>
      <c r="F75" s="12" t="s">
        <v>280</v>
      </c>
      <c r="G75" s="31">
        <f>INDEX('03 VAT return'!$E$56:$E$63,MATCH(F75,'03 VAT return'!$B$56:$B$63,0))</f>
        <v>0</v>
      </c>
      <c r="H75" s="13">
        <v>306000</v>
      </c>
      <c r="I75" s="13">
        <v>0</v>
      </c>
      <c r="J75" s="13">
        <f>IF(INDEX('03 VAT return'!$F$56:$F$63,MATCH(F75,'03 VAT return'!$B$56:$B$63,0))="Yes",0,ROUND(H75*G75,2))</f>
        <v>0</v>
      </c>
      <c r="K75" s="31">
        <f t="shared" si="5"/>
        <v>0</v>
      </c>
      <c r="L75" s="12" t="s">
        <v>249</v>
      </c>
      <c r="M75" s="36">
        <v>1</v>
      </c>
      <c r="N75" s="13">
        <v>306000</v>
      </c>
      <c r="O75" s="13">
        <v>0</v>
      </c>
      <c r="P75" s="13">
        <f>IF(INDEX('03 VAT return'!$F$56:$F$63,MATCH(F75,'03 VAT return'!$B$56:$B$63,0))="Yes",ROUND(N75*G75,2),0)</f>
        <v>0</v>
      </c>
      <c r="Q75" s="13">
        <f>IF(INDEX('03 VAT return'!$D$56:$D$63,MATCH(F75,'03 VAT return'!$B$56:$B$63,0))="AP",O75+P75,0)</f>
        <v>0</v>
      </c>
      <c r="R75" s="12" t="s">
        <v>282</v>
      </c>
      <c r="S75" s="12">
        <v>900</v>
      </c>
      <c r="T75" s="13">
        <v>340</v>
      </c>
    </row>
    <row r="76" spans="2:20" x14ac:dyDescent="0.3">
      <c r="B76" s="37">
        <f t="shared" si="4"/>
        <v>0</v>
      </c>
      <c r="C76" s="8" t="s">
        <v>535</v>
      </c>
      <c r="D76" s="8" t="s">
        <v>432</v>
      </c>
      <c r="E76" s="8" t="s">
        <v>536</v>
      </c>
      <c r="F76" s="8" t="s">
        <v>283</v>
      </c>
      <c r="G76" s="30">
        <f>INDEX('03 VAT return'!$E$56:$E$63,MATCH(F76,'03 VAT return'!$B$56:$B$63,0))</f>
        <v>0</v>
      </c>
      <c r="H76" s="9">
        <v>35000</v>
      </c>
      <c r="I76" s="9">
        <v>0</v>
      </c>
      <c r="J76" s="9">
        <f>IF(INDEX('03 VAT return'!$F$56:$F$63,MATCH(F76,'03 VAT return'!$B$56:$B$63,0))="Yes",0,ROUND(H76*G76,2))</f>
        <v>0</v>
      </c>
      <c r="K76" s="30">
        <f t="shared" si="5"/>
        <v>0</v>
      </c>
      <c r="L76" s="8" t="s">
        <v>249</v>
      </c>
      <c r="M76" s="35">
        <v>1</v>
      </c>
      <c r="N76" s="9">
        <v>35000</v>
      </c>
      <c r="O76" s="9">
        <v>0</v>
      </c>
      <c r="P76" s="9">
        <f>IF(INDEX('03 VAT return'!$F$56:$F$63,MATCH(F76,'03 VAT return'!$B$56:$B$63,0))="Yes",ROUND(N76*G76,2),0)</f>
        <v>0</v>
      </c>
      <c r="Q76" s="9">
        <f>IF(INDEX('03 VAT return'!$D$56:$D$63,MATCH(F76,'03 VAT return'!$B$56:$B$63,0))="AP",O76+P76,0)</f>
        <v>0</v>
      </c>
      <c r="R76" s="8" t="s">
        <v>284</v>
      </c>
      <c r="S76" s="8">
        <v>1</v>
      </c>
      <c r="T76" s="9">
        <v>35000</v>
      </c>
    </row>
    <row r="77" spans="2:20" x14ac:dyDescent="0.3">
      <c r="B77" s="38">
        <f t="shared" si="4"/>
        <v>0</v>
      </c>
      <c r="C77" s="12" t="s">
        <v>537</v>
      </c>
      <c r="D77" s="12" t="s">
        <v>435</v>
      </c>
      <c r="E77" s="12" t="s">
        <v>533</v>
      </c>
      <c r="F77" s="12" t="s">
        <v>280</v>
      </c>
      <c r="G77" s="31">
        <f>INDEX('03 VAT return'!$E$56:$E$63,MATCH(F77,'03 VAT return'!$B$56:$B$63,0))</f>
        <v>0</v>
      </c>
      <c r="H77" s="13">
        <v>150000</v>
      </c>
      <c r="I77" s="13">
        <v>0</v>
      </c>
      <c r="J77" s="13">
        <f>IF(INDEX('03 VAT return'!$F$56:$F$63,MATCH(F77,'03 VAT return'!$B$56:$B$63,0))="Yes",0,ROUND(H77*G77,2))</f>
        <v>0</v>
      </c>
      <c r="K77" s="31">
        <f t="shared" si="5"/>
        <v>0</v>
      </c>
      <c r="L77" s="12" t="s">
        <v>439</v>
      </c>
      <c r="M77" s="36">
        <v>1.44</v>
      </c>
      <c r="N77" s="13">
        <v>216000</v>
      </c>
      <c r="O77" s="13">
        <v>0</v>
      </c>
      <c r="P77" s="13">
        <f>IF(INDEX('03 VAT return'!$F$56:$F$63,MATCH(F77,'03 VAT return'!$B$56:$B$63,0))="Yes",ROUND(N77*G77,2),0)</f>
        <v>0</v>
      </c>
      <c r="Q77" s="13">
        <f>IF(INDEX('03 VAT return'!$D$56:$D$63,MATCH(F77,'03 VAT return'!$B$56:$B$63,0))="AP",O77+P77,0)</f>
        <v>0</v>
      </c>
      <c r="R77" s="12" t="s">
        <v>282</v>
      </c>
      <c r="S77" s="12">
        <v>750</v>
      </c>
      <c r="T77" s="13">
        <v>200</v>
      </c>
    </row>
    <row r="78" spans="2:20" x14ac:dyDescent="0.3">
      <c r="B78" s="37">
        <f t="shared" si="4"/>
        <v>0</v>
      </c>
      <c r="C78" s="8" t="s">
        <v>538</v>
      </c>
      <c r="D78" s="8" t="s">
        <v>440</v>
      </c>
      <c r="E78" s="8" t="s">
        <v>533</v>
      </c>
      <c r="F78" s="8" t="s">
        <v>280</v>
      </c>
      <c r="G78" s="30">
        <f>INDEX('03 VAT return'!$E$56:$E$63,MATCH(F78,'03 VAT return'!$B$56:$B$63,0))</f>
        <v>0</v>
      </c>
      <c r="H78" s="9">
        <v>69000</v>
      </c>
      <c r="I78" s="9">
        <v>0</v>
      </c>
      <c r="J78" s="9">
        <f>IF(INDEX('03 VAT return'!$F$56:$F$63,MATCH(F78,'03 VAT return'!$B$56:$B$63,0))="Yes",0,ROUND(H78*G78,2))</f>
        <v>0</v>
      </c>
      <c r="K78" s="30">
        <f t="shared" si="5"/>
        <v>0</v>
      </c>
      <c r="L78" s="8" t="s">
        <v>249</v>
      </c>
      <c r="M78" s="35">
        <v>1</v>
      </c>
      <c r="N78" s="9">
        <v>69000</v>
      </c>
      <c r="O78" s="9">
        <v>0</v>
      </c>
      <c r="P78" s="9">
        <f>IF(INDEX('03 VAT return'!$F$56:$F$63,MATCH(F78,'03 VAT return'!$B$56:$B$63,0))="Yes",ROUND(N78*G78,2),0)</f>
        <v>0</v>
      </c>
      <c r="Q78" s="9">
        <f>IF(INDEX('03 VAT return'!$D$56:$D$63,MATCH(F78,'03 VAT return'!$B$56:$B$63,0))="AP",O78+P78,0)</f>
        <v>0</v>
      </c>
      <c r="R78" s="8" t="s">
        <v>282</v>
      </c>
      <c r="S78" s="8">
        <v>240</v>
      </c>
      <c r="T78" s="9">
        <v>287.5</v>
      </c>
    </row>
    <row r="79" spans="2:20" x14ac:dyDescent="0.3">
      <c r="B79" s="38">
        <f t="shared" si="4"/>
        <v>0</v>
      </c>
      <c r="C79" s="12" t="s">
        <v>539</v>
      </c>
      <c r="D79" s="12" t="s">
        <v>443</v>
      </c>
      <c r="E79" s="12" t="s">
        <v>536</v>
      </c>
      <c r="F79" s="12" t="s">
        <v>283</v>
      </c>
      <c r="G79" s="31">
        <f>INDEX('03 VAT return'!$E$56:$E$63,MATCH(F79,'03 VAT return'!$B$56:$B$63,0))</f>
        <v>0</v>
      </c>
      <c r="H79" s="13">
        <v>15000</v>
      </c>
      <c r="I79" s="13">
        <v>0</v>
      </c>
      <c r="J79" s="13">
        <f>IF(INDEX('03 VAT return'!$F$56:$F$63,MATCH(F79,'03 VAT return'!$B$56:$B$63,0))="Yes",0,ROUND(H79*G79,2))</f>
        <v>0</v>
      </c>
      <c r="K79" s="31">
        <f t="shared" si="5"/>
        <v>0</v>
      </c>
      <c r="L79" s="12" t="s">
        <v>249</v>
      </c>
      <c r="M79" s="36">
        <v>1</v>
      </c>
      <c r="N79" s="13">
        <v>15000</v>
      </c>
      <c r="O79" s="13">
        <v>0</v>
      </c>
      <c r="P79" s="13">
        <f>IF(INDEX('03 VAT return'!$F$56:$F$63,MATCH(F79,'03 VAT return'!$B$56:$B$63,0))="Yes",ROUND(N79*G79,2),0)</f>
        <v>0</v>
      </c>
      <c r="Q79" s="13">
        <f>IF(INDEX('03 VAT return'!$D$56:$D$63,MATCH(F79,'03 VAT return'!$B$56:$B$63,0))="AP",O79+P79,0)</f>
        <v>0</v>
      </c>
      <c r="R79" s="12" t="s">
        <v>284</v>
      </c>
      <c r="S79" s="12">
        <v>1</v>
      </c>
      <c r="T79" s="13">
        <v>15000</v>
      </c>
    </row>
    <row r="80" spans="2:20" x14ac:dyDescent="0.3">
      <c r="B80" s="37">
        <f t="shared" si="4"/>
        <v>0</v>
      </c>
      <c r="C80" s="8" t="s">
        <v>540</v>
      </c>
      <c r="D80" s="8" t="s">
        <v>446</v>
      </c>
      <c r="E80" s="8" t="s">
        <v>533</v>
      </c>
      <c r="F80" s="8" t="s">
        <v>280</v>
      </c>
      <c r="G80" s="30">
        <f>INDEX('03 VAT return'!$E$56:$E$63,MATCH(F80,'03 VAT return'!$B$56:$B$63,0))</f>
        <v>0</v>
      </c>
      <c r="H80" s="9">
        <v>15000</v>
      </c>
      <c r="I80" s="9">
        <v>0</v>
      </c>
      <c r="J80" s="9">
        <f>IF(INDEX('03 VAT return'!$F$56:$F$63,MATCH(F80,'03 VAT return'!$B$56:$B$63,0))="Yes",0,ROUND(H80*G80,2))</f>
        <v>0</v>
      </c>
      <c r="K80" s="30">
        <f t="shared" si="5"/>
        <v>0</v>
      </c>
      <c r="L80" s="8" t="s">
        <v>428</v>
      </c>
      <c r="M80" s="35">
        <v>10.8</v>
      </c>
      <c r="N80" s="9">
        <v>162000</v>
      </c>
      <c r="O80" s="9">
        <v>0</v>
      </c>
      <c r="P80" s="9">
        <f>IF(INDEX('03 VAT return'!$F$56:$F$63,MATCH(F80,'03 VAT return'!$B$56:$B$63,0))="Yes",ROUND(N80*G80,2),0)</f>
        <v>0</v>
      </c>
      <c r="Q80" s="9">
        <f>IF(INDEX('03 VAT return'!$D$56:$D$63,MATCH(F80,'03 VAT return'!$B$56:$B$63,0))="AP",O80+P80,0)</f>
        <v>0</v>
      </c>
      <c r="R80" s="8" t="s">
        <v>282</v>
      </c>
      <c r="S80" s="8">
        <v>480</v>
      </c>
      <c r="T80" s="9">
        <v>31.25</v>
      </c>
    </row>
    <row r="81" spans="2:20" x14ac:dyDescent="0.3">
      <c r="B81" s="38">
        <f t="shared" si="4"/>
        <v>0</v>
      </c>
      <c r="C81" s="12" t="s">
        <v>541</v>
      </c>
      <c r="D81" s="12" t="s">
        <v>450</v>
      </c>
      <c r="E81" s="12" t="s">
        <v>533</v>
      </c>
      <c r="F81" s="12" t="s">
        <v>280</v>
      </c>
      <c r="G81" s="31">
        <f>INDEX('03 VAT return'!$E$56:$E$63,MATCH(F81,'03 VAT return'!$B$56:$B$63,0))</f>
        <v>0</v>
      </c>
      <c r="H81" s="13">
        <v>18000</v>
      </c>
      <c r="I81" s="13">
        <v>0</v>
      </c>
      <c r="J81" s="13">
        <f>IF(INDEX('03 VAT return'!$F$56:$F$63,MATCH(F81,'03 VAT return'!$B$56:$B$63,0))="Yes",0,ROUND(H81*G81,2))</f>
        <v>0</v>
      </c>
      <c r="K81" s="31">
        <f t="shared" si="5"/>
        <v>0</v>
      </c>
      <c r="L81" s="12" t="s">
        <v>249</v>
      </c>
      <c r="M81" s="36">
        <v>1</v>
      </c>
      <c r="N81" s="13">
        <v>18000</v>
      </c>
      <c r="O81" s="13">
        <v>0</v>
      </c>
      <c r="P81" s="13">
        <f>IF(INDEX('03 VAT return'!$F$56:$F$63,MATCH(F81,'03 VAT return'!$B$56:$B$63,0))="Yes",ROUND(N81*G81,2),0)</f>
        <v>0</v>
      </c>
      <c r="Q81" s="13">
        <f>IF(INDEX('03 VAT return'!$D$56:$D$63,MATCH(F81,'03 VAT return'!$B$56:$B$63,0))="AP",O81+P81,0)</f>
        <v>0</v>
      </c>
      <c r="R81" s="12" t="s">
        <v>282</v>
      </c>
      <c r="S81" s="12">
        <v>90</v>
      </c>
      <c r="T81" s="13">
        <v>200</v>
      </c>
    </row>
    <row r="82" spans="2:20" x14ac:dyDescent="0.3">
      <c r="B82" s="37">
        <f t="shared" ref="B82:B114" si="6">ROUND(I82-J82,2)</f>
        <v>0</v>
      </c>
      <c r="C82" s="8" t="s">
        <v>542</v>
      </c>
      <c r="D82" s="8" t="s">
        <v>453</v>
      </c>
      <c r="E82" s="8" t="s">
        <v>536</v>
      </c>
      <c r="F82" s="8" t="s">
        <v>283</v>
      </c>
      <c r="G82" s="30">
        <f>INDEX('03 VAT return'!$E$56:$E$63,MATCH(F82,'03 VAT return'!$B$56:$B$63,0))</f>
        <v>0</v>
      </c>
      <c r="H82" s="9">
        <v>5000</v>
      </c>
      <c r="I82" s="9">
        <v>0</v>
      </c>
      <c r="J82" s="9">
        <f>IF(INDEX('03 VAT return'!$F$56:$F$63,MATCH(F82,'03 VAT return'!$B$56:$B$63,0))="Yes",0,ROUND(H82*G82,2))</f>
        <v>0</v>
      </c>
      <c r="K82" s="30">
        <f t="shared" ref="K82:K114" si="7">IF(H82=0,0,I82/H82)</f>
        <v>0</v>
      </c>
      <c r="L82" s="8" t="s">
        <v>249</v>
      </c>
      <c r="M82" s="35">
        <v>1</v>
      </c>
      <c r="N82" s="9">
        <v>5000</v>
      </c>
      <c r="O82" s="9">
        <v>0</v>
      </c>
      <c r="P82" s="9">
        <f>IF(INDEX('03 VAT return'!$F$56:$F$63,MATCH(F82,'03 VAT return'!$B$56:$B$63,0))="Yes",ROUND(N82*G82,2),0)</f>
        <v>0</v>
      </c>
      <c r="Q82" s="9">
        <f>IF(INDEX('03 VAT return'!$D$56:$D$63,MATCH(F82,'03 VAT return'!$B$56:$B$63,0))="AP",O82+P82,0)</f>
        <v>0</v>
      </c>
      <c r="R82" s="8" t="s">
        <v>284</v>
      </c>
      <c r="S82" s="8">
        <v>1</v>
      </c>
      <c r="T82" s="9">
        <v>5000</v>
      </c>
    </row>
    <row r="83" spans="2:20" x14ac:dyDescent="0.3">
      <c r="B83" s="38">
        <f t="shared" si="6"/>
        <v>-7600</v>
      </c>
      <c r="C83" s="12" t="s">
        <v>543</v>
      </c>
      <c r="D83" s="12" t="s">
        <v>62</v>
      </c>
      <c r="E83" s="12" t="s">
        <v>544</v>
      </c>
      <c r="F83" s="12" t="s">
        <v>270</v>
      </c>
      <c r="G83" s="31">
        <f>INDEX('03 VAT return'!$E$56:$E$63,MATCH(F83,'03 VAT return'!$B$56:$B$63,0))</f>
        <v>0.25</v>
      </c>
      <c r="H83" s="13">
        <v>95000</v>
      </c>
      <c r="I83" s="13">
        <v>16150</v>
      </c>
      <c r="J83" s="13">
        <f>IF(INDEX('03 VAT return'!$F$56:$F$63,MATCH(F83,'03 VAT return'!$B$56:$B$63,0))="Yes",0,ROUND(H83*G83,2))</f>
        <v>23750</v>
      </c>
      <c r="K83" s="31">
        <f t="shared" si="7"/>
        <v>0.17</v>
      </c>
      <c r="L83" s="12" t="s">
        <v>249</v>
      </c>
      <c r="M83" s="36">
        <v>1</v>
      </c>
      <c r="N83" s="13">
        <v>95000</v>
      </c>
      <c r="O83" s="13">
        <v>16150</v>
      </c>
      <c r="P83" s="13">
        <f>IF(INDEX('03 VAT return'!$F$56:$F$63,MATCH(F83,'03 VAT return'!$B$56:$B$63,0))="Yes",ROUND(N83*G83,2),0)</f>
        <v>0</v>
      </c>
      <c r="Q83" s="13">
        <f>IF(INDEX('03 VAT return'!$D$56:$D$63,MATCH(F83,'03 VAT return'!$B$56:$B$63,0))="AP",O83+P83,0)</f>
        <v>0</v>
      </c>
      <c r="R83" s="12" t="s">
        <v>275</v>
      </c>
      <c r="S83" s="12">
        <v>1</v>
      </c>
      <c r="T83" s="13">
        <v>95000</v>
      </c>
    </row>
    <row r="84" spans="2:20" x14ac:dyDescent="0.3">
      <c r="B84" s="37">
        <f t="shared" si="6"/>
        <v>0</v>
      </c>
      <c r="C84" s="8" t="s">
        <v>545</v>
      </c>
      <c r="D84" s="8" t="s">
        <v>456</v>
      </c>
      <c r="E84" s="8" t="s">
        <v>546</v>
      </c>
      <c r="F84" s="8" t="s">
        <v>285</v>
      </c>
      <c r="G84" s="30">
        <f>INDEX('03 VAT return'!$E$56:$E$63,MATCH(F84,'03 VAT return'!$B$56:$B$63,0))</f>
        <v>0.25</v>
      </c>
      <c r="H84" s="9">
        <v>37200</v>
      </c>
      <c r="I84" s="9">
        <v>9300</v>
      </c>
      <c r="J84" s="9">
        <f>IF(INDEX('03 VAT return'!$F$56:$F$63,MATCH(F84,'03 VAT return'!$B$56:$B$63,0))="Yes",0,ROUND(H84*G84,2))</f>
        <v>9300</v>
      </c>
      <c r="K84" s="30">
        <f t="shared" si="7"/>
        <v>0.25</v>
      </c>
      <c r="L84" s="8" t="s">
        <v>249</v>
      </c>
      <c r="M84" s="35">
        <v>1</v>
      </c>
      <c r="N84" s="9">
        <v>37200</v>
      </c>
      <c r="O84" s="9">
        <v>9300</v>
      </c>
      <c r="P84" s="9">
        <f>IF(INDEX('03 VAT return'!$F$56:$F$63,MATCH(F84,'03 VAT return'!$B$56:$B$63,0))="Yes",ROUND(N84*G84,2),0)</f>
        <v>0</v>
      </c>
      <c r="Q84" s="9">
        <f>IF(INDEX('03 VAT return'!$D$56:$D$63,MATCH(F84,'03 VAT return'!$B$56:$B$63,0))="AP",O84+P84,0)</f>
        <v>9300</v>
      </c>
      <c r="R84" s="8" t="s">
        <v>288</v>
      </c>
      <c r="S84" s="8">
        <v>10</v>
      </c>
      <c r="T84" s="9">
        <v>3720</v>
      </c>
    </row>
    <row r="85" spans="2:20" x14ac:dyDescent="0.3">
      <c r="B85" s="38">
        <f t="shared" si="6"/>
        <v>0</v>
      </c>
      <c r="C85" s="12" t="s">
        <v>547</v>
      </c>
      <c r="D85" s="12" t="s">
        <v>456</v>
      </c>
      <c r="E85" s="12" t="s">
        <v>548</v>
      </c>
      <c r="F85" s="12" t="s">
        <v>285</v>
      </c>
      <c r="G85" s="31">
        <f>INDEX('03 VAT return'!$E$56:$E$63,MATCH(F85,'03 VAT return'!$B$56:$B$63,0))</f>
        <v>0.25</v>
      </c>
      <c r="H85" s="13">
        <v>24800</v>
      </c>
      <c r="I85" s="13">
        <v>6200</v>
      </c>
      <c r="J85" s="13">
        <f>IF(INDEX('03 VAT return'!$F$56:$F$63,MATCH(F85,'03 VAT return'!$B$56:$B$63,0))="Yes",0,ROUND(H85*G85,2))</f>
        <v>6200</v>
      </c>
      <c r="K85" s="31">
        <f t="shared" si="7"/>
        <v>0.25</v>
      </c>
      <c r="L85" s="12" t="s">
        <v>249</v>
      </c>
      <c r="M85" s="36">
        <v>1</v>
      </c>
      <c r="N85" s="13">
        <v>24800</v>
      </c>
      <c r="O85" s="13">
        <v>6200</v>
      </c>
      <c r="P85" s="13">
        <f>IF(INDEX('03 VAT return'!$F$56:$F$63,MATCH(F85,'03 VAT return'!$B$56:$B$63,0))="Yes",ROUND(N85*G85,2),0)</f>
        <v>0</v>
      </c>
      <c r="Q85" s="13">
        <f>IF(INDEX('03 VAT return'!$D$56:$D$63,MATCH(F85,'03 VAT return'!$B$56:$B$63,0))="AP",O85+P85,0)</f>
        <v>6200</v>
      </c>
      <c r="R85" s="12" t="s">
        <v>288</v>
      </c>
      <c r="S85" s="12">
        <v>5</v>
      </c>
      <c r="T85" s="13">
        <v>4960</v>
      </c>
    </row>
    <row r="86" spans="2:20" x14ac:dyDescent="0.3">
      <c r="B86" s="37">
        <f t="shared" si="6"/>
        <v>0</v>
      </c>
      <c r="C86" s="8" t="s">
        <v>549</v>
      </c>
      <c r="D86" s="8" t="s">
        <v>460</v>
      </c>
      <c r="E86" s="8" t="s">
        <v>550</v>
      </c>
      <c r="F86" s="8" t="s">
        <v>285</v>
      </c>
      <c r="G86" s="30">
        <f>INDEX('03 VAT return'!$E$56:$E$63,MATCH(F86,'03 VAT return'!$B$56:$B$63,0))</f>
        <v>0.25</v>
      </c>
      <c r="H86" s="9">
        <v>11100</v>
      </c>
      <c r="I86" s="9">
        <v>2775</v>
      </c>
      <c r="J86" s="9">
        <f>IF(INDEX('03 VAT return'!$F$56:$F$63,MATCH(F86,'03 VAT return'!$B$56:$B$63,0))="Yes",0,ROUND(H86*G86,2))</f>
        <v>2775</v>
      </c>
      <c r="K86" s="30">
        <f t="shared" si="7"/>
        <v>0.25</v>
      </c>
      <c r="L86" s="8" t="s">
        <v>249</v>
      </c>
      <c r="M86" s="35">
        <v>1</v>
      </c>
      <c r="N86" s="9">
        <v>11100</v>
      </c>
      <c r="O86" s="9">
        <v>2775</v>
      </c>
      <c r="P86" s="9">
        <f>IF(INDEX('03 VAT return'!$F$56:$F$63,MATCH(F86,'03 VAT return'!$B$56:$B$63,0))="Yes",ROUND(N86*G86,2),0)</f>
        <v>0</v>
      </c>
      <c r="Q86" s="9">
        <f>IF(INDEX('03 VAT return'!$D$56:$D$63,MATCH(F86,'03 VAT return'!$B$56:$B$63,0))="AP",O86+P86,0)</f>
        <v>2775</v>
      </c>
      <c r="R86" s="8" t="s">
        <v>288</v>
      </c>
      <c r="S86" s="8">
        <v>10</v>
      </c>
      <c r="T86" s="9">
        <v>1110</v>
      </c>
    </row>
    <row r="87" spans="2:20" x14ac:dyDescent="0.3">
      <c r="B87" s="38">
        <f t="shared" si="6"/>
        <v>0</v>
      </c>
      <c r="C87" s="12" t="s">
        <v>551</v>
      </c>
      <c r="D87" s="12" t="s">
        <v>460</v>
      </c>
      <c r="E87" s="12" t="s">
        <v>552</v>
      </c>
      <c r="F87" s="12" t="s">
        <v>285</v>
      </c>
      <c r="G87" s="31">
        <f>INDEX('03 VAT return'!$E$56:$E$63,MATCH(F87,'03 VAT return'!$B$56:$B$63,0))</f>
        <v>0.25</v>
      </c>
      <c r="H87" s="13">
        <v>7400</v>
      </c>
      <c r="I87" s="13">
        <v>1850</v>
      </c>
      <c r="J87" s="13">
        <f>IF(INDEX('03 VAT return'!$F$56:$F$63,MATCH(F87,'03 VAT return'!$B$56:$B$63,0))="Yes",0,ROUND(H87*G87,2))</f>
        <v>1850</v>
      </c>
      <c r="K87" s="31">
        <f t="shared" si="7"/>
        <v>0.25</v>
      </c>
      <c r="L87" s="12" t="s">
        <v>249</v>
      </c>
      <c r="M87" s="36">
        <v>1</v>
      </c>
      <c r="N87" s="13">
        <v>7400</v>
      </c>
      <c r="O87" s="13">
        <v>1850</v>
      </c>
      <c r="P87" s="13">
        <f>IF(INDEX('03 VAT return'!$F$56:$F$63,MATCH(F87,'03 VAT return'!$B$56:$B$63,0))="Yes",ROUND(N87*G87,2),0)</f>
        <v>0</v>
      </c>
      <c r="Q87" s="13">
        <f>IF(INDEX('03 VAT return'!$D$56:$D$63,MATCH(F87,'03 VAT return'!$B$56:$B$63,0))="AP",O87+P87,0)</f>
        <v>1850</v>
      </c>
      <c r="R87" s="12" t="s">
        <v>288</v>
      </c>
      <c r="S87" s="12">
        <v>5</v>
      </c>
      <c r="T87" s="13">
        <v>1480</v>
      </c>
    </row>
    <row r="88" spans="2:20" x14ac:dyDescent="0.3">
      <c r="B88" s="37">
        <f t="shared" si="6"/>
        <v>0</v>
      </c>
      <c r="C88" s="8" t="s">
        <v>553</v>
      </c>
      <c r="D88" s="8" t="s">
        <v>463</v>
      </c>
      <c r="E88" s="8" t="s">
        <v>554</v>
      </c>
      <c r="F88" s="8" t="s">
        <v>285</v>
      </c>
      <c r="G88" s="30">
        <f>INDEX('03 VAT return'!$E$56:$E$63,MATCH(F88,'03 VAT return'!$B$56:$B$63,0))</f>
        <v>0.25</v>
      </c>
      <c r="H88" s="9">
        <v>5760</v>
      </c>
      <c r="I88" s="9">
        <v>1440</v>
      </c>
      <c r="J88" s="9">
        <f>IF(INDEX('03 VAT return'!$F$56:$F$63,MATCH(F88,'03 VAT return'!$B$56:$B$63,0))="Yes",0,ROUND(H88*G88,2))</f>
        <v>1440</v>
      </c>
      <c r="K88" s="30">
        <f t="shared" si="7"/>
        <v>0.25</v>
      </c>
      <c r="L88" s="8" t="s">
        <v>249</v>
      </c>
      <c r="M88" s="35">
        <v>1</v>
      </c>
      <c r="N88" s="9">
        <v>5760</v>
      </c>
      <c r="O88" s="9">
        <v>1440</v>
      </c>
      <c r="P88" s="9">
        <f>IF(INDEX('03 VAT return'!$F$56:$F$63,MATCH(F88,'03 VAT return'!$B$56:$B$63,0))="Yes",ROUND(N88*G88,2),0)</f>
        <v>0</v>
      </c>
      <c r="Q88" s="9">
        <f>IF(INDEX('03 VAT return'!$D$56:$D$63,MATCH(F88,'03 VAT return'!$B$56:$B$63,0))="AP",O88+P88,0)</f>
        <v>1440</v>
      </c>
      <c r="R88" s="8" t="s">
        <v>288</v>
      </c>
      <c r="S88" s="8">
        <v>10</v>
      </c>
      <c r="T88" s="9">
        <v>576</v>
      </c>
    </row>
    <row r="89" spans="2:20" x14ac:dyDescent="0.3">
      <c r="B89" s="38">
        <f t="shared" si="6"/>
        <v>0</v>
      </c>
      <c r="C89" s="12" t="s">
        <v>555</v>
      </c>
      <c r="D89" s="12" t="s">
        <v>463</v>
      </c>
      <c r="E89" s="12" t="s">
        <v>556</v>
      </c>
      <c r="F89" s="12" t="s">
        <v>285</v>
      </c>
      <c r="G89" s="31">
        <f>INDEX('03 VAT return'!$E$56:$E$63,MATCH(F89,'03 VAT return'!$B$56:$B$63,0))</f>
        <v>0.25</v>
      </c>
      <c r="H89" s="13">
        <v>3840</v>
      </c>
      <c r="I89" s="13">
        <v>960</v>
      </c>
      <c r="J89" s="13">
        <f>IF(INDEX('03 VAT return'!$F$56:$F$63,MATCH(F89,'03 VAT return'!$B$56:$B$63,0))="Yes",0,ROUND(H89*G89,2))</f>
        <v>960</v>
      </c>
      <c r="K89" s="31">
        <f t="shared" si="7"/>
        <v>0.25</v>
      </c>
      <c r="L89" s="12" t="s">
        <v>249</v>
      </c>
      <c r="M89" s="36">
        <v>1</v>
      </c>
      <c r="N89" s="13">
        <v>3840</v>
      </c>
      <c r="O89" s="13">
        <v>960</v>
      </c>
      <c r="P89" s="13">
        <f>IF(INDEX('03 VAT return'!$F$56:$F$63,MATCH(F89,'03 VAT return'!$B$56:$B$63,0))="Yes",ROUND(N89*G89,2),0)</f>
        <v>0</v>
      </c>
      <c r="Q89" s="13">
        <f>IF(INDEX('03 VAT return'!$D$56:$D$63,MATCH(F89,'03 VAT return'!$B$56:$B$63,0))="AP",O89+P89,0)</f>
        <v>960</v>
      </c>
      <c r="R89" s="12" t="s">
        <v>288</v>
      </c>
      <c r="S89" s="12">
        <v>5</v>
      </c>
      <c r="T89" s="13">
        <v>768</v>
      </c>
    </row>
    <row r="90" spans="2:20" x14ac:dyDescent="0.3">
      <c r="B90" s="37">
        <f t="shared" si="6"/>
        <v>0</v>
      </c>
      <c r="C90" s="8" t="s">
        <v>557</v>
      </c>
      <c r="D90" s="8" t="s">
        <v>466</v>
      </c>
      <c r="E90" s="8" t="s">
        <v>558</v>
      </c>
      <c r="F90" s="8" t="s">
        <v>285</v>
      </c>
      <c r="G90" s="30">
        <f>INDEX('03 VAT return'!$E$56:$E$63,MATCH(F90,'03 VAT return'!$B$56:$B$63,0))</f>
        <v>0.25</v>
      </c>
      <c r="H90" s="9">
        <v>15000</v>
      </c>
      <c r="I90" s="9">
        <v>3750</v>
      </c>
      <c r="J90" s="9">
        <f>IF(INDEX('03 VAT return'!$F$56:$F$63,MATCH(F90,'03 VAT return'!$B$56:$B$63,0))="Yes",0,ROUND(H90*G90,2))</f>
        <v>3750</v>
      </c>
      <c r="K90" s="30">
        <f t="shared" si="7"/>
        <v>0.25</v>
      </c>
      <c r="L90" s="8" t="s">
        <v>249</v>
      </c>
      <c r="M90" s="35">
        <v>1</v>
      </c>
      <c r="N90" s="9">
        <v>15000</v>
      </c>
      <c r="O90" s="9">
        <v>3750</v>
      </c>
      <c r="P90" s="9">
        <f>IF(INDEX('03 VAT return'!$F$56:$F$63,MATCH(F90,'03 VAT return'!$B$56:$B$63,0))="Yes",ROUND(N90*G90,2),0)</f>
        <v>0</v>
      </c>
      <c r="Q90" s="9">
        <f>IF(INDEX('03 VAT return'!$D$56:$D$63,MATCH(F90,'03 VAT return'!$B$56:$B$63,0))="AP",O90+P90,0)</f>
        <v>3750</v>
      </c>
      <c r="R90" s="8" t="s">
        <v>288</v>
      </c>
      <c r="S90" s="8">
        <v>10</v>
      </c>
      <c r="T90" s="9">
        <v>1500</v>
      </c>
    </row>
    <row r="91" spans="2:20" x14ac:dyDescent="0.3">
      <c r="B91" s="38">
        <f t="shared" si="6"/>
        <v>0</v>
      </c>
      <c r="C91" s="12" t="s">
        <v>559</v>
      </c>
      <c r="D91" s="12" t="s">
        <v>466</v>
      </c>
      <c r="E91" s="12" t="s">
        <v>560</v>
      </c>
      <c r="F91" s="12" t="s">
        <v>285</v>
      </c>
      <c r="G91" s="31">
        <f>INDEX('03 VAT return'!$E$56:$E$63,MATCH(F91,'03 VAT return'!$B$56:$B$63,0))</f>
        <v>0.25</v>
      </c>
      <c r="H91" s="13">
        <v>10000</v>
      </c>
      <c r="I91" s="13">
        <v>2500</v>
      </c>
      <c r="J91" s="13">
        <f>IF(INDEX('03 VAT return'!$F$56:$F$63,MATCH(F91,'03 VAT return'!$B$56:$B$63,0))="Yes",0,ROUND(H91*G91,2))</f>
        <v>2500</v>
      </c>
      <c r="K91" s="31">
        <f t="shared" si="7"/>
        <v>0.25</v>
      </c>
      <c r="L91" s="12" t="s">
        <v>249</v>
      </c>
      <c r="M91" s="36">
        <v>1</v>
      </c>
      <c r="N91" s="13">
        <v>10000</v>
      </c>
      <c r="O91" s="13">
        <v>2500</v>
      </c>
      <c r="P91" s="13">
        <f>IF(INDEX('03 VAT return'!$F$56:$F$63,MATCH(F91,'03 VAT return'!$B$56:$B$63,0))="Yes",ROUND(N91*G91,2),0)</f>
        <v>0</v>
      </c>
      <c r="Q91" s="13">
        <f>IF(INDEX('03 VAT return'!$D$56:$D$63,MATCH(F91,'03 VAT return'!$B$56:$B$63,0))="AP",O91+P91,0)</f>
        <v>2500</v>
      </c>
      <c r="R91" s="12" t="s">
        <v>288</v>
      </c>
      <c r="S91" s="12">
        <v>5</v>
      </c>
      <c r="T91" s="13">
        <v>2000</v>
      </c>
    </row>
    <row r="92" spans="2:20" x14ac:dyDescent="0.3">
      <c r="B92" s="37">
        <f t="shared" si="6"/>
        <v>0</v>
      </c>
      <c r="C92" s="8" t="s">
        <v>561</v>
      </c>
      <c r="D92" s="8" t="s">
        <v>469</v>
      </c>
      <c r="E92" s="8" t="s">
        <v>562</v>
      </c>
      <c r="F92" s="8" t="s">
        <v>285</v>
      </c>
      <c r="G92" s="30">
        <f>INDEX('03 VAT return'!$E$56:$E$63,MATCH(F92,'03 VAT return'!$B$56:$B$63,0))</f>
        <v>0.25</v>
      </c>
      <c r="H92" s="9">
        <v>8880</v>
      </c>
      <c r="I92" s="9">
        <v>2220</v>
      </c>
      <c r="J92" s="9">
        <f>IF(INDEX('03 VAT return'!$F$56:$F$63,MATCH(F92,'03 VAT return'!$B$56:$B$63,0))="Yes",0,ROUND(H92*G92,2))</f>
        <v>2220</v>
      </c>
      <c r="K92" s="30">
        <f t="shared" si="7"/>
        <v>0.25</v>
      </c>
      <c r="L92" s="8" t="s">
        <v>249</v>
      </c>
      <c r="M92" s="35">
        <v>1</v>
      </c>
      <c r="N92" s="9">
        <v>8880</v>
      </c>
      <c r="O92" s="9">
        <v>2220</v>
      </c>
      <c r="P92" s="9">
        <f>IF(INDEX('03 VAT return'!$F$56:$F$63,MATCH(F92,'03 VAT return'!$B$56:$B$63,0))="Yes",ROUND(N92*G92,2),0)</f>
        <v>0</v>
      </c>
      <c r="Q92" s="9">
        <f>IF(INDEX('03 VAT return'!$D$56:$D$63,MATCH(F92,'03 VAT return'!$B$56:$B$63,0))="AP",O92+P92,0)</f>
        <v>2220</v>
      </c>
      <c r="R92" s="8" t="s">
        <v>288</v>
      </c>
      <c r="S92" s="8">
        <v>10</v>
      </c>
      <c r="T92" s="9">
        <v>888</v>
      </c>
    </row>
    <row r="93" spans="2:20" x14ac:dyDescent="0.3">
      <c r="B93" s="38">
        <f t="shared" si="6"/>
        <v>0</v>
      </c>
      <c r="C93" s="12" t="s">
        <v>563</v>
      </c>
      <c r="D93" s="12" t="s">
        <v>469</v>
      </c>
      <c r="E93" s="12" t="s">
        <v>564</v>
      </c>
      <c r="F93" s="12" t="s">
        <v>285</v>
      </c>
      <c r="G93" s="31">
        <f>INDEX('03 VAT return'!$E$56:$E$63,MATCH(F93,'03 VAT return'!$B$56:$B$63,0))</f>
        <v>0.25</v>
      </c>
      <c r="H93" s="13">
        <v>5920</v>
      </c>
      <c r="I93" s="13">
        <v>1480</v>
      </c>
      <c r="J93" s="13">
        <f>IF(INDEX('03 VAT return'!$F$56:$F$63,MATCH(F93,'03 VAT return'!$B$56:$B$63,0))="Yes",0,ROUND(H93*G93,2))</f>
        <v>1480</v>
      </c>
      <c r="K93" s="31">
        <f t="shared" si="7"/>
        <v>0.25</v>
      </c>
      <c r="L93" s="12" t="s">
        <v>249</v>
      </c>
      <c r="M93" s="36">
        <v>1</v>
      </c>
      <c r="N93" s="13">
        <v>5920</v>
      </c>
      <c r="O93" s="13">
        <v>1480</v>
      </c>
      <c r="P93" s="13">
        <f>IF(INDEX('03 VAT return'!$F$56:$F$63,MATCH(F93,'03 VAT return'!$B$56:$B$63,0))="Yes",ROUND(N93*G93,2),0)</f>
        <v>0</v>
      </c>
      <c r="Q93" s="13">
        <f>IF(INDEX('03 VAT return'!$D$56:$D$63,MATCH(F93,'03 VAT return'!$B$56:$B$63,0))="AP",O93+P93,0)</f>
        <v>1480</v>
      </c>
      <c r="R93" s="12" t="s">
        <v>288</v>
      </c>
      <c r="S93" s="12">
        <v>5</v>
      </c>
      <c r="T93" s="13">
        <v>1184</v>
      </c>
    </row>
    <row r="94" spans="2:20" x14ac:dyDescent="0.3">
      <c r="B94" s="37">
        <f t="shared" si="6"/>
        <v>0</v>
      </c>
      <c r="C94" s="8" t="s">
        <v>565</v>
      </c>
      <c r="D94" s="8" t="s">
        <v>472</v>
      </c>
      <c r="E94" s="8" t="s">
        <v>566</v>
      </c>
      <c r="F94" s="8" t="s">
        <v>285</v>
      </c>
      <c r="G94" s="30">
        <f>INDEX('03 VAT return'!$E$56:$E$63,MATCH(F94,'03 VAT return'!$B$56:$B$63,0))</f>
        <v>0.25</v>
      </c>
      <c r="H94" s="9">
        <v>19200</v>
      </c>
      <c r="I94" s="9">
        <v>4800</v>
      </c>
      <c r="J94" s="9">
        <f>IF(INDEX('03 VAT return'!$F$56:$F$63,MATCH(F94,'03 VAT return'!$B$56:$B$63,0))="Yes",0,ROUND(H94*G94,2))</f>
        <v>4800</v>
      </c>
      <c r="K94" s="30">
        <f t="shared" si="7"/>
        <v>0.25</v>
      </c>
      <c r="L94" s="8" t="s">
        <v>249</v>
      </c>
      <c r="M94" s="35">
        <v>1</v>
      </c>
      <c r="N94" s="9">
        <v>19200</v>
      </c>
      <c r="O94" s="9">
        <v>4800</v>
      </c>
      <c r="P94" s="9">
        <f>IF(INDEX('03 VAT return'!$F$56:$F$63,MATCH(F94,'03 VAT return'!$B$56:$B$63,0))="Yes",ROUND(N94*G94,2),0)</f>
        <v>0</v>
      </c>
      <c r="Q94" s="9">
        <f>IF(INDEX('03 VAT return'!$D$56:$D$63,MATCH(F94,'03 VAT return'!$B$56:$B$63,0))="AP",O94+P94,0)</f>
        <v>4800</v>
      </c>
      <c r="R94" s="8" t="s">
        <v>288</v>
      </c>
      <c r="S94" s="8">
        <v>10</v>
      </c>
      <c r="T94" s="9">
        <v>1920</v>
      </c>
    </row>
    <row r="95" spans="2:20" x14ac:dyDescent="0.3">
      <c r="B95" s="38">
        <f t="shared" si="6"/>
        <v>0</v>
      </c>
      <c r="C95" s="12" t="s">
        <v>567</v>
      </c>
      <c r="D95" s="12" t="s">
        <v>472</v>
      </c>
      <c r="E95" s="12" t="s">
        <v>568</v>
      </c>
      <c r="F95" s="12" t="s">
        <v>285</v>
      </c>
      <c r="G95" s="31">
        <f>INDEX('03 VAT return'!$E$56:$E$63,MATCH(F95,'03 VAT return'!$B$56:$B$63,0))</f>
        <v>0.25</v>
      </c>
      <c r="H95" s="13">
        <v>12800</v>
      </c>
      <c r="I95" s="13">
        <v>3200</v>
      </c>
      <c r="J95" s="13">
        <f>IF(INDEX('03 VAT return'!$F$56:$F$63,MATCH(F95,'03 VAT return'!$B$56:$B$63,0))="Yes",0,ROUND(H95*G95,2))</f>
        <v>3200</v>
      </c>
      <c r="K95" s="31">
        <f t="shared" si="7"/>
        <v>0.25</v>
      </c>
      <c r="L95" s="12" t="s">
        <v>249</v>
      </c>
      <c r="M95" s="36">
        <v>1</v>
      </c>
      <c r="N95" s="13">
        <v>12800</v>
      </c>
      <c r="O95" s="13">
        <v>3200</v>
      </c>
      <c r="P95" s="13">
        <f>IF(INDEX('03 VAT return'!$F$56:$F$63,MATCH(F95,'03 VAT return'!$B$56:$B$63,0))="Yes",ROUND(N95*G95,2),0)</f>
        <v>0</v>
      </c>
      <c r="Q95" s="13">
        <f>IF(INDEX('03 VAT return'!$D$56:$D$63,MATCH(F95,'03 VAT return'!$B$56:$B$63,0))="AP",O95+P95,0)</f>
        <v>3200</v>
      </c>
      <c r="R95" s="12" t="s">
        <v>288</v>
      </c>
      <c r="S95" s="12">
        <v>5</v>
      </c>
      <c r="T95" s="13">
        <v>2560</v>
      </c>
    </row>
    <row r="96" spans="2:20" x14ac:dyDescent="0.3">
      <c r="B96" s="37">
        <f t="shared" si="6"/>
        <v>0</v>
      </c>
      <c r="C96" s="8" t="s">
        <v>569</v>
      </c>
      <c r="D96" s="8" t="s">
        <v>475</v>
      </c>
      <c r="E96" s="8" t="s">
        <v>570</v>
      </c>
      <c r="F96" s="8" t="s">
        <v>285</v>
      </c>
      <c r="G96" s="30">
        <f>INDEX('03 VAT return'!$E$56:$E$63,MATCH(F96,'03 VAT return'!$B$56:$B$63,0))</f>
        <v>0.25</v>
      </c>
      <c r="H96" s="9">
        <v>4680</v>
      </c>
      <c r="I96" s="9">
        <v>1170</v>
      </c>
      <c r="J96" s="9">
        <f>IF(INDEX('03 VAT return'!$F$56:$F$63,MATCH(F96,'03 VAT return'!$B$56:$B$63,0))="Yes",0,ROUND(H96*G96,2))</f>
        <v>1170</v>
      </c>
      <c r="K96" s="30">
        <f t="shared" si="7"/>
        <v>0.25</v>
      </c>
      <c r="L96" s="8" t="s">
        <v>249</v>
      </c>
      <c r="M96" s="35">
        <v>1</v>
      </c>
      <c r="N96" s="9">
        <v>4680</v>
      </c>
      <c r="O96" s="9">
        <v>1170</v>
      </c>
      <c r="P96" s="9">
        <f>IF(INDEX('03 VAT return'!$F$56:$F$63,MATCH(F96,'03 VAT return'!$B$56:$B$63,0))="Yes",ROUND(N96*G96,2),0)</f>
        <v>0</v>
      </c>
      <c r="Q96" s="9">
        <f>IF(INDEX('03 VAT return'!$D$56:$D$63,MATCH(F96,'03 VAT return'!$B$56:$B$63,0))="AP",O96+P96,0)</f>
        <v>1170</v>
      </c>
      <c r="R96" s="8" t="s">
        <v>288</v>
      </c>
      <c r="S96" s="8">
        <v>10</v>
      </c>
      <c r="T96" s="9">
        <v>468</v>
      </c>
    </row>
    <row r="97" spans="2:20" x14ac:dyDescent="0.3">
      <c r="B97" s="38">
        <f t="shared" si="6"/>
        <v>0</v>
      </c>
      <c r="C97" s="12" t="s">
        <v>571</v>
      </c>
      <c r="D97" s="12" t="s">
        <v>475</v>
      </c>
      <c r="E97" s="12" t="s">
        <v>572</v>
      </c>
      <c r="F97" s="12" t="s">
        <v>285</v>
      </c>
      <c r="G97" s="31">
        <f>INDEX('03 VAT return'!$E$56:$E$63,MATCH(F97,'03 VAT return'!$B$56:$B$63,0))</f>
        <v>0.25</v>
      </c>
      <c r="H97" s="13">
        <v>3120</v>
      </c>
      <c r="I97" s="13">
        <v>780</v>
      </c>
      <c r="J97" s="13">
        <f>IF(INDEX('03 VAT return'!$F$56:$F$63,MATCH(F97,'03 VAT return'!$B$56:$B$63,0))="Yes",0,ROUND(H97*G97,2))</f>
        <v>780</v>
      </c>
      <c r="K97" s="31">
        <f t="shared" si="7"/>
        <v>0.25</v>
      </c>
      <c r="L97" s="12" t="s">
        <v>249</v>
      </c>
      <c r="M97" s="36">
        <v>1</v>
      </c>
      <c r="N97" s="13">
        <v>3120</v>
      </c>
      <c r="O97" s="13">
        <v>780</v>
      </c>
      <c r="P97" s="13">
        <f>IF(INDEX('03 VAT return'!$F$56:$F$63,MATCH(F97,'03 VAT return'!$B$56:$B$63,0))="Yes",ROUND(N97*G97,2),0)</f>
        <v>0</v>
      </c>
      <c r="Q97" s="13">
        <f>IF(INDEX('03 VAT return'!$D$56:$D$63,MATCH(F97,'03 VAT return'!$B$56:$B$63,0))="AP",O97+P97,0)</f>
        <v>780</v>
      </c>
      <c r="R97" s="12" t="s">
        <v>288</v>
      </c>
      <c r="S97" s="12">
        <v>5</v>
      </c>
      <c r="T97" s="13">
        <v>624</v>
      </c>
    </row>
    <row r="98" spans="2:20" x14ac:dyDescent="0.3">
      <c r="B98" s="37">
        <f t="shared" si="6"/>
        <v>0</v>
      </c>
      <c r="C98" s="8" t="s">
        <v>573</v>
      </c>
      <c r="D98" s="8" t="s">
        <v>478</v>
      </c>
      <c r="E98" s="8" t="s">
        <v>546</v>
      </c>
      <c r="F98" s="8" t="s">
        <v>285</v>
      </c>
      <c r="G98" s="30">
        <f>INDEX('03 VAT return'!$E$56:$E$63,MATCH(F98,'03 VAT return'!$B$56:$B$63,0))</f>
        <v>0.25</v>
      </c>
      <c r="H98" s="9">
        <v>9900</v>
      </c>
      <c r="I98" s="9">
        <v>2475</v>
      </c>
      <c r="J98" s="9">
        <f>IF(INDEX('03 VAT return'!$F$56:$F$63,MATCH(F98,'03 VAT return'!$B$56:$B$63,0))="Yes",0,ROUND(H98*G98,2))</f>
        <v>2475</v>
      </c>
      <c r="K98" s="30">
        <f t="shared" si="7"/>
        <v>0.25</v>
      </c>
      <c r="L98" s="8" t="s">
        <v>249</v>
      </c>
      <c r="M98" s="35">
        <v>1</v>
      </c>
      <c r="N98" s="9">
        <v>9900</v>
      </c>
      <c r="O98" s="9">
        <v>2475</v>
      </c>
      <c r="P98" s="9">
        <f>IF(INDEX('03 VAT return'!$F$56:$F$63,MATCH(F98,'03 VAT return'!$B$56:$B$63,0))="Yes",ROUND(N98*G98,2),0)</f>
        <v>0</v>
      </c>
      <c r="Q98" s="9">
        <f>IF(INDEX('03 VAT return'!$D$56:$D$63,MATCH(F98,'03 VAT return'!$B$56:$B$63,0))="AP",O98+P98,0)</f>
        <v>2475</v>
      </c>
      <c r="R98" s="8" t="s">
        <v>288</v>
      </c>
      <c r="S98" s="8">
        <v>10</v>
      </c>
      <c r="T98" s="9">
        <v>990</v>
      </c>
    </row>
    <row r="99" spans="2:20" x14ac:dyDescent="0.3">
      <c r="B99" s="38">
        <f t="shared" si="6"/>
        <v>0</v>
      </c>
      <c r="C99" s="12" t="s">
        <v>574</v>
      </c>
      <c r="D99" s="12" t="s">
        <v>478</v>
      </c>
      <c r="E99" s="12" t="s">
        <v>548</v>
      </c>
      <c r="F99" s="12" t="s">
        <v>285</v>
      </c>
      <c r="G99" s="31">
        <f>INDEX('03 VAT return'!$E$56:$E$63,MATCH(F99,'03 VAT return'!$B$56:$B$63,0))</f>
        <v>0.25</v>
      </c>
      <c r="H99" s="13">
        <v>6600</v>
      </c>
      <c r="I99" s="13">
        <v>1650</v>
      </c>
      <c r="J99" s="13">
        <f>IF(INDEX('03 VAT return'!$F$56:$F$63,MATCH(F99,'03 VAT return'!$B$56:$B$63,0))="Yes",0,ROUND(H99*G99,2))</f>
        <v>1650</v>
      </c>
      <c r="K99" s="31">
        <f t="shared" si="7"/>
        <v>0.25</v>
      </c>
      <c r="L99" s="12" t="s">
        <v>249</v>
      </c>
      <c r="M99" s="36">
        <v>1</v>
      </c>
      <c r="N99" s="13">
        <v>6600</v>
      </c>
      <c r="O99" s="13">
        <v>1650</v>
      </c>
      <c r="P99" s="13">
        <f>IF(INDEX('03 VAT return'!$F$56:$F$63,MATCH(F99,'03 VAT return'!$B$56:$B$63,0))="Yes",ROUND(N99*G99,2),0)</f>
        <v>0</v>
      </c>
      <c r="Q99" s="13">
        <f>IF(INDEX('03 VAT return'!$D$56:$D$63,MATCH(F99,'03 VAT return'!$B$56:$B$63,0))="AP",O99+P99,0)</f>
        <v>1650</v>
      </c>
      <c r="R99" s="12" t="s">
        <v>288</v>
      </c>
      <c r="S99" s="12">
        <v>5</v>
      </c>
      <c r="T99" s="13">
        <v>1320</v>
      </c>
    </row>
    <row r="100" spans="2:20" x14ac:dyDescent="0.3">
      <c r="B100" s="37">
        <f t="shared" si="6"/>
        <v>0</v>
      </c>
      <c r="C100" s="8" t="s">
        <v>575</v>
      </c>
      <c r="D100" s="8" t="s">
        <v>479</v>
      </c>
      <c r="E100" s="8" t="s">
        <v>550</v>
      </c>
      <c r="F100" s="8" t="s">
        <v>285</v>
      </c>
      <c r="G100" s="30">
        <f>INDEX('03 VAT return'!$E$56:$E$63,MATCH(F100,'03 VAT return'!$B$56:$B$63,0))</f>
        <v>0.25</v>
      </c>
      <c r="H100" s="9">
        <v>7680</v>
      </c>
      <c r="I100" s="9">
        <v>1920</v>
      </c>
      <c r="J100" s="9">
        <f>IF(INDEX('03 VAT return'!$F$56:$F$63,MATCH(F100,'03 VAT return'!$B$56:$B$63,0))="Yes",0,ROUND(H100*G100,2))</f>
        <v>1920</v>
      </c>
      <c r="K100" s="30">
        <f t="shared" si="7"/>
        <v>0.25</v>
      </c>
      <c r="L100" s="8" t="s">
        <v>249</v>
      </c>
      <c r="M100" s="35">
        <v>1</v>
      </c>
      <c r="N100" s="9">
        <v>7680</v>
      </c>
      <c r="O100" s="9">
        <v>1920</v>
      </c>
      <c r="P100" s="9">
        <f>IF(INDEX('03 VAT return'!$F$56:$F$63,MATCH(F100,'03 VAT return'!$B$56:$B$63,0))="Yes",ROUND(N100*G100,2),0)</f>
        <v>0</v>
      </c>
      <c r="Q100" s="9">
        <f>IF(INDEX('03 VAT return'!$D$56:$D$63,MATCH(F100,'03 VAT return'!$B$56:$B$63,0))="AP",O100+P100,0)</f>
        <v>1920</v>
      </c>
      <c r="R100" s="8" t="s">
        <v>288</v>
      </c>
      <c r="S100" s="8">
        <v>10</v>
      </c>
      <c r="T100" s="9">
        <v>768</v>
      </c>
    </row>
    <row r="101" spans="2:20" x14ac:dyDescent="0.3">
      <c r="B101" s="38">
        <f t="shared" si="6"/>
        <v>0</v>
      </c>
      <c r="C101" s="12" t="s">
        <v>576</v>
      </c>
      <c r="D101" s="12" t="s">
        <v>479</v>
      </c>
      <c r="E101" s="12" t="s">
        <v>552</v>
      </c>
      <c r="F101" s="12" t="s">
        <v>285</v>
      </c>
      <c r="G101" s="31">
        <f>INDEX('03 VAT return'!$E$56:$E$63,MATCH(F101,'03 VAT return'!$B$56:$B$63,0))</f>
        <v>0.25</v>
      </c>
      <c r="H101" s="13">
        <v>5120</v>
      </c>
      <c r="I101" s="13">
        <v>1280</v>
      </c>
      <c r="J101" s="13">
        <f>IF(INDEX('03 VAT return'!$F$56:$F$63,MATCH(F101,'03 VAT return'!$B$56:$B$63,0))="Yes",0,ROUND(H101*G101,2))</f>
        <v>1280</v>
      </c>
      <c r="K101" s="31">
        <f t="shared" si="7"/>
        <v>0.25</v>
      </c>
      <c r="L101" s="12" t="s">
        <v>249</v>
      </c>
      <c r="M101" s="36">
        <v>1</v>
      </c>
      <c r="N101" s="13">
        <v>5120</v>
      </c>
      <c r="O101" s="13">
        <v>1280</v>
      </c>
      <c r="P101" s="13">
        <f>IF(INDEX('03 VAT return'!$F$56:$F$63,MATCH(F101,'03 VAT return'!$B$56:$B$63,0))="Yes",ROUND(N101*G101,2),0)</f>
        <v>0</v>
      </c>
      <c r="Q101" s="13">
        <f>IF(INDEX('03 VAT return'!$D$56:$D$63,MATCH(F101,'03 VAT return'!$B$56:$B$63,0))="AP",O101+P101,0)</f>
        <v>1280</v>
      </c>
      <c r="R101" s="12" t="s">
        <v>288</v>
      </c>
      <c r="S101" s="12">
        <v>5</v>
      </c>
      <c r="T101" s="13">
        <v>1024</v>
      </c>
    </row>
    <row r="102" spans="2:20" x14ac:dyDescent="0.3">
      <c r="B102" s="37">
        <f t="shared" si="6"/>
        <v>0</v>
      </c>
      <c r="C102" s="8" t="s">
        <v>577</v>
      </c>
      <c r="D102" s="8" t="s">
        <v>480</v>
      </c>
      <c r="E102" s="8" t="s">
        <v>554</v>
      </c>
      <c r="F102" s="8" t="s">
        <v>285</v>
      </c>
      <c r="G102" s="30">
        <f>INDEX('03 VAT return'!$E$56:$E$63,MATCH(F102,'03 VAT return'!$B$56:$B$63,0))</f>
        <v>0.25</v>
      </c>
      <c r="H102" s="9">
        <v>13440</v>
      </c>
      <c r="I102" s="9">
        <v>3360</v>
      </c>
      <c r="J102" s="9">
        <f>IF(INDEX('03 VAT return'!$F$56:$F$63,MATCH(F102,'03 VAT return'!$B$56:$B$63,0))="Yes",0,ROUND(H102*G102,2))</f>
        <v>3360</v>
      </c>
      <c r="K102" s="30">
        <f t="shared" si="7"/>
        <v>0.25</v>
      </c>
      <c r="L102" s="8" t="s">
        <v>249</v>
      </c>
      <c r="M102" s="35">
        <v>1</v>
      </c>
      <c r="N102" s="9">
        <v>13440</v>
      </c>
      <c r="O102" s="9">
        <v>3360</v>
      </c>
      <c r="P102" s="9">
        <f>IF(INDEX('03 VAT return'!$F$56:$F$63,MATCH(F102,'03 VAT return'!$B$56:$B$63,0))="Yes",ROUND(N102*G102,2),0)</f>
        <v>0</v>
      </c>
      <c r="Q102" s="9">
        <f>IF(INDEX('03 VAT return'!$D$56:$D$63,MATCH(F102,'03 VAT return'!$B$56:$B$63,0))="AP",O102+P102,0)</f>
        <v>3360</v>
      </c>
      <c r="R102" s="8" t="s">
        <v>288</v>
      </c>
      <c r="S102" s="8">
        <v>10</v>
      </c>
      <c r="T102" s="9">
        <v>1344</v>
      </c>
    </row>
    <row r="103" spans="2:20" x14ac:dyDescent="0.3">
      <c r="B103" s="38">
        <f t="shared" si="6"/>
        <v>0</v>
      </c>
      <c r="C103" s="12" t="s">
        <v>578</v>
      </c>
      <c r="D103" s="12" t="s">
        <v>480</v>
      </c>
      <c r="E103" s="12" t="s">
        <v>556</v>
      </c>
      <c r="F103" s="12" t="s">
        <v>285</v>
      </c>
      <c r="G103" s="31">
        <f>INDEX('03 VAT return'!$E$56:$E$63,MATCH(F103,'03 VAT return'!$B$56:$B$63,0))</f>
        <v>0.25</v>
      </c>
      <c r="H103" s="13">
        <v>8960</v>
      </c>
      <c r="I103" s="13">
        <v>2240</v>
      </c>
      <c r="J103" s="13">
        <f>IF(INDEX('03 VAT return'!$F$56:$F$63,MATCH(F103,'03 VAT return'!$B$56:$B$63,0))="Yes",0,ROUND(H103*G103,2))</f>
        <v>2240</v>
      </c>
      <c r="K103" s="31">
        <f t="shared" si="7"/>
        <v>0.25</v>
      </c>
      <c r="L103" s="12" t="s">
        <v>249</v>
      </c>
      <c r="M103" s="36">
        <v>1</v>
      </c>
      <c r="N103" s="13">
        <v>8960</v>
      </c>
      <c r="O103" s="13">
        <v>2240</v>
      </c>
      <c r="P103" s="13">
        <f>IF(INDEX('03 VAT return'!$F$56:$F$63,MATCH(F103,'03 VAT return'!$B$56:$B$63,0))="Yes",ROUND(N103*G103,2),0)</f>
        <v>0</v>
      </c>
      <c r="Q103" s="13">
        <f>IF(INDEX('03 VAT return'!$D$56:$D$63,MATCH(F103,'03 VAT return'!$B$56:$B$63,0))="AP",O103+P103,0)</f>
        <v>2240</v>
      </c>
      <c r="R103" s="12" t="s">
        <v>288</v>
      </c>
      <c r="S103" s="12">
        <v>5</v>
      </c>
      <c r="T103" s="13">
        <v>1792</v>
      </c>
    </row>
    <row r="104" spans="2:20" x14ac:dyDescent="0.3">
      <c r="B104" s="37">
        <f t="shared" si="6"/>
        <v>0</v>
      </c>
      <c r="C104" s="8" t="s">
        <v>579</v>
      </c>
      <c r="D104" s="8" t="s">
        <v>481</v>
      </c>
      <c r="E104" s="8" t="s">
        <v>558</v>
      </c>
      <c r="F104" s="8" t="s">
        <v>285</v>
      </c>
      <c r="G104" s="30">
        <f>INDEX('03 VAT return'!$E$56:$E$63,MATCH(F104,'03 VAT return'!$B$56:$B$63,0))</f>
        <v>0.25</v>
      </c>
      <c r="H104" s="9">
        <v>11880</v>
      </c>
      <c r="I104" s="9">
        <v>2970</v>
      </c>
      <c r="J104" s="9">
        <f>IF(INDEX('03 VAT return'!$F$56:$F$63,MATCH(F104,'03 VAT return'!$B$56:$B$63,0))="Yes",0,ROUND(H104*G104,2))</f>
        <v>2970</v>
      </c>
      <c r="K104" s="30">
        <f t="shared" si="7"/>
        <v>0.25</v>
      </c>
      <c r="L104" s="8" t="s">
        <v>249</v>
      </c>
      <c r="M104" s="35">
        <v>1</v>
      </c>
      <c r="N104" s="9">
        <v>11880</v>
      </c>
      <c r="O104" s="9">
        <v>2970</v>
      </c>
      <c r="P104" s="9">
        <f>IF(INDEX('03 VAT return'!$F$56:$F$63,MATCH(F104,'03 VAT return'!$B$56:$B$63,0))="Yes",ROUND(N104*G104,2),0)</f>
        <v>0</v>
      </c>
      <c r="Q104" s="9">
        <f>IF(INDEX('03 VAT return'!$D$56:$D$63,MATCH(F104,'03 VAT return'!$B$56:$B$63,0))="AP",O104+P104,0)</f>
        <v>2970</v>
      </c>
      <c r="R104" s="8" t="s">
        <v>288</v>
      </c>
      <c r="S104" s="8">
        <v>10</v>
      </c>
      <c r="T104" s="9">
        <v>1188</v>
      </c>
    </row>
    <row r="105" spans="2:20" x14ac:dyDescent="0.3">
      <c r="B105" s="38">
        <f t="shared" si="6"/>
        <v>0</v>
      </c>
      <c r="C105" s="12" t="s">
        <v>580</v>
      </c>
      <c r="D105" s="12" t="s">
        <v>481</v>
      </c>
      <c r="E105" s="12" t="s">
        <v>560</v>
      </c>
      <c r="F105" s="12" t="s">
        <v>285</v>
      </c>
      <c r="G105" s="31">
        <f>INDEX('03 VAT return'!$E$56:$E$63,MATCH(F105,'03 VAT return'!$B$56:$B$63,0))</f>
        <v>0.25</v>
      </c>
      <c r="H105" s="13">
        <v>7920</v>
      </c>
      <c r="I105" s="13">
        <v>1980</v>
      </c>
      <c r="J105" s="13">
        <f>IF(INDEX('03 VAT return'!$F$56:$F$63,MATCH(F105,'03 VAT return'!$B$56:$B$63,0))="Yes",0,ROUND(H105*G105,2))</f>
        <v>1980</v>
      </c>
      <c r="K105" s="31">
        <f t="shared" si="7"/>
        <v>0.25</v>
      </c>
      <c r="L105" s="12" t="s">
        <v>249</v>
      </c>
      <c r="M105" s="36">
        <v>1</v>
      </c>
      <c r="N105" s="13">
        <v>7920</v>
      </c>
      <c r="O105" s="13">
        <v>1980</v>
      </c>
      <c r="P105" s="13">
        <f>IF(INDEX('03 VAT return'!$F$56:$F$63,MATCH(F105,'03 VAT return'!$B$56:$B$63,0))="Yes",ROUND(N105*G105,2),0)</f>
        <v>0</v>
      </c>
      <c r="Q105" s="13">
        <f>IF(INDEX('03 VAT return'!$D$56:$D$63,MATCH(F105,'03 VAT return'!$B$56:$B$63,0))="AP",O105+P105,0)</f>
        <v>1980</v>
      </c>
      <c r="R105" s="12" t="s">
        <v>288</v>
      </c>
      <c r="S105" s="12">
        <v>5</v>
      </c>
      <c r="T105" s="13">
        <v>1584</v>
      </c>
    </row>
    <row r="106" spans="2:20" x14ac:dyDescent="0.3">
      <c r="B106" s="37">
        <f t="shared" si="6"/>
        <v>0</v>
      </c>
      <c r="C106" s="8" t="s">
        <v>581</v>
      </c>
      <c r="D106" s="8" t="s">
        <v>482</v>
      </c>
      <c r="E106" s="8" t="s">
        <v>562</v>
      </c>
      <c r="F106" s="8" t="s">
        <v>285</v>
      </c>
      <c r="G106" s="30">
        <f>INDEX('03 VAT return'!$E$56:$E$63,MATCH(F106,'03 VAT return'!$B$56:$B$63,0))</f>
        <v>0.25</v>
      </c>
      <c r="H106" s="9">
        <v>5160</v>
      </c>
      <c r="I106" s="9">
        <v>1290</v>
      </c>
      <c r="J106" s="9">
        <f>IF(INDEX('03 VAT return'!$F$56:$F$63,MATCH(F106,'03 VAT return'!$B$56:$B$63,0))="Yes",0,ROUND(H106*G106,2))</f>
        <v>1290</v>
      </c>
      <c r="K106" s="30">
        <f t="shared" si="7"/>
        <v>0.25</v>
      </c>
      <c r="L106" s="8" t="s">
        <v>249</v>
      </c>
      <c r="M106" s="35">
        <v>1</v>
      </c>
      <c r="N106" s="9">
        <v>5160</v>
      </c>
      <c r="O106" s="9">
        <v>1290</v>
      </c>
      <c r="P106" s="9">
        <f>IF(INDEX('03 VAT return'!$F$56:$F$63,MATCH(F106,'03 VAT return'!$B$56:$B$63,0))="Yes",ROUND(N106*G106,2),0)</f>
        <v>0</v>
      </c>
      <c r="Q106" s="9">
        <f>IF(INDEX('03 VAT return'!$D$56:$D$63,MATCH(F106,'03 VAT return'!$B$56:$B$63,0))="AP",O106+P106,0)</f>
        <v>1290</v>
      </c>
      <c r="R106" s="8" t="s">
        <v>288</v>
      </c>
      <c r="S106" s="8">
        <v>10</v>
      </c>
      <c r="T106" s="9">
        <v>516</v>
      </c>
    </row>
    <row r="107" spans="2:20" x14ac:dyDescent="0.3">
      <c r="B107" s="38">
        <f t="shared" si="6"/>
        <v>0</v>
      </c>
      <c r="C107" s="12" t="s">
        <v>582</v>
      </c>
      <c r="D107" s="12" t="s">
        <v>482</v>
      </c>
      <c r="E107" s="12" t="s">
        <v>564</v>
      </c>
      <c r="F107" s="12" t="s">
        <v>285</v>
      </c>
      <c r="G107" s="31">
        <f>INDEX('03 VAT return'!$E$56:$E$63,MATCH(F107,'03 VAT return'!$B$56:$B$63,0))</f>
        <v>0.25</v>
      </c>
      <c r="H107" s="13">
        <v>3440</v>
      </c>
      <c r="I107" s="13">
        <v>860</v>
      </c>
      <c r="J107" s="13">
        <f>IF(INDEX('03 VAT return'!$F$56:$F$63,MATCH(F107,'03 VAT return'!$B$56:$B$63,0))="Yes",0,ROUND(H107*G107,2))</f>
        <v>860</v>
      </c>
      <c r="K107" s="31">
        <f t="shared" si="7"/>
        <v>0.25</v>
      </c>
      <c r="L107" s="12" t="s">
        <v>249</v>
      </c>
      <c r="M107" s="36">
        <v>1</v>
      </c>
      <c r="N107" s="13">
        <v>3440</v>
      </c>
      <c r="O107" s="13">
        <v>860</v>
      </c>
      <c r="P107" s="13">
        <f>IF(INDEX('03 VAT return'!$F$56:$F$63,MATCH(F107,'03 VAT return'!$B$56:$B$63,0))="Yes",ROUND(N107*G107,2),0)</f>
        <v>0</v>
      </c>
      <c r="Q107" s="13">
        <f>IF(INDEX('03 VAT return'!$D$56:$D$63,MATCH(F107,'03 VAT return'!$B$56:$B$63,0))="AP",O107+P107,0)</f>
        <v>860</v>
      </c>
      <c r="R107" s="12" t="s">
        <v>288</v>
      </c>
      <c r="S107" s="12">
        <v>5</v>
      </c>
      <c r="T107" s="13">
        <v>688</v>
      </c>
    </row>
    <row r="108" spans="2:20" x14ac:dyDescent="0.3">
      <c r="B108" s="37">
        <f t="shared" si="6"/>
        <v>0</v>
      </c>
      <c r="C108" s="8" t="s">
        <v>583</v>
      </c>
      <c r="D108" s="8" t="s">
        <v>483</v>
      </c>
      <c r="E108" s="8" t="s">
        <v>566</v>
      </c>
      <c r="F108" s="8" t="s">
        <v>285</v>
      </c>
      <c r="G108" s="30">
        <f>INDEX('03 VAT return'!$E$56:$E$63,MATCH(F108,'03 VAT return'!$B$56:$B$63,0))</f>
        <v>0.25</v>
      </c>
      <c r="H108" s="9">
        <v>8520</v>
      </c>
      <c r="I108" s="9">
        <v>2130</v>
      </c>
      <c r="J108" s="9">
        <f>IF(INDEX('03 VAT return'!$F$56:$F$63,MATCH(F108,'03 VAT return'!$B$56:$B$63,0))="Yes",0,ROUND(H108*G108,2))</f>
        <v>2130</v>
      </c>
      <c r="K108" s="30">
        <f t="shared" si="7"/>
        <v>0.25</v>
      </c>
      <c r="L108" s="8" t="s">
        <v>249</v>
      </c>
      <c r="M108" s="35">
        <v>1</v>
      </c>
      <c r="N108" s="9">
        <v>8520</v>
      </c>
      <c r="O108" s="9">
        <v>2130</v>
      </c>
      <c r="P108" s="9">
        <f>IF(INDEX('03 VAT return'!$F$56:$F$63,MATCH(F108,'03 VAT return'!$B$56:$B$63,0))="Yes",ROUND(N108*G108,2),0)</f>
        <v>0</v>
      </c>
      <c r="Q108" s="9">
        <f>IF(INDEX('03 VAT return'!$D$56:$D$63,MATCH(F108,'03 VAT return'!$B$56:$B$63,0))="AP",O108+P108,0)</f>
        <v>2130</v>
      </c>
      <c r="R108" s="8" t="s">
        <v>288</v>
      </c>
      <c r="S108" s="8">
        <v>10</v>
      </c>
      <c r="T108" s="9">
        <v>852</v>
      </c>
    </row>
    <row r="109" spans="2:20" x14ac:dyDescent="0.3">
      <c r="B109" s="38">
        <f t="shared" si="6"/>
        <v>0</v>
      </c>
      <c r="C109" s="12" t="s">
        <v>584</v>
      </c>
      <c r="D109" s="12" t="s">
        <v>483</v>
      </c>
      <c r="E109" s="12" t="s">
        <v>568</v>
      </c>
      <c r="F109" s="12" t="s">
        <v>285</v>
      </c>
      <c r="G109" s="31">
        <f>INDEX('03 VAT return'!$E$56:$E$63,MATCH(F109,'03 VAT return'!$B$56:$B$63,0))</f>
        <v>0.25</v>
      </c>
      <c r="H109" s="13">
        <v>5680</v>
      </c>
      <c r="I109" s="13">
        <v>1420</v>
      </c>
      <c r="J109" s="13">
        <f>IF(INDEX('03 VAT return'!$F$56:$F$63,MATCH(F109,'03 VAT return'!$B$56:$B$63,0))="Yes",0,ROUND(H109*G109,2))</f>
        <v>1420</v>
      </c>
      <c r="K109" s="31">
        <f t="shared" si="7"/>
        <v>0.25</v>
      </c>
      <c r="L109" s="12" t="s">
        <v>249</v>
      </c>
      <c r="M109" s="36">
        <v>1</v>
      </c>
      <c r="N109" s="13">
        <v>5680</v>
      </c>
      <c r="O109" s="13">
        <v>1420</v>
      </c>
      <c r="P109" s="13">
        <f>IF(INDEX('03 VAT return'!$F$56:$F$63,MATCH(F109,'03 VAT return'!$B$56:$B$63,0))="Yes",ROUND(N109*G109,2),0)</f>
        <v>0</v>
      </c>
      <c r="Q109" s="13">
        <f>IF(INDEX('03 VAT return'!$D$56:$D$63,MATCH(F109,'03 VAT return'!$B$56:$B$63,0))="AP",O109+P109,0)</f>
        <v>1420</v>
      </c>
      <c r="R109" s="12" t="s">
        <v>288</v>
      </c>
      <c r="S109" s="12">
        <v>5</v>
      </c>
      <c r="T109" s="13">
        <v>1136</v>
      </c>
    </row>
    <row r="110" spans="2:20" x14ac:dyDescent="0.3">
      <c r="B110" s="37">
        <f t="shared" si="6"/>
        <v>0</v>
      </c>
      <c r="C110" s="8" t="s">
        <v>585</v>
      </c>
      <c r="D110" s="8" t="s">
        <v>484</v>
      </c>
      <c r="E110" s="8" t="s">
        <v>586</v>
      </c>
      <c r="F110" s="8" t="s">
        <v>285</v>
      </c>
      <c r="G110" s="30">
        <f>INDEX('03 VAT return'!$E$56:$E$63,MATCH(F110,'03 VAT return'!$B$56:$B$63,0))</f>
        <v>0.25</v>
      </c>
      <c r="H110" s="9">
        <v>-5160</v>
      </c>
      <c r="I110" s="9">
        <v>-1290</v>
      </c>
      <c r="J110" s="9">
        <f>IF(INDEX('03 VAT return'!$F$56:$F$63,MATCH(F110,'03 VAT return'!$B$56:$B$63,0))="Yes",0,ROUND(H110*G110,2))</f>
        <v>-1290</v>
      </c>
      <c r="K110" s="30">
        <f t="shared" si="7"/>
        <v>0.25</v>
      </c>
      <c r="L110" s="8" t="s">
        <v>249</v>
      </c>
      <c r="M110" s="35">
        <v>1</v>
      </c>
      <c r="N110" s="9">
        <v>-5160</v>
      </c>
      <c r="O110" s="9">
        <v>-1290</v>
      </c>
      <c r="P110" s="9">
        <f>IF(INDEX('03 VAT return'!$F$56:$F$63,MATCH(F110,'03 VAT return'!$B$56:$B$63,0))="Yes",ROUND(N110*G110,2),0)</f>
        <v>0</v>
      </c>
      <c r="Q110" s="9">
        <f>IF(INDEX('03 VAT return'!$D$56:$D$63,MATCH(F110,'03 VAT return'!$B$56:$B$63,0))="AP",O110+P110,0)</f>
        <v>-1290</v>
      </c>
      <c r="R110" s="8" t="s">
        <v>288</v>
      </c>
      <c r="S110" s="8">
        <v>-10</v>
      </c>
      <c r="T110" s="9">
        <v>516</v>
      </c>
    </row>
    <row r="111" spans="2:20" x14ac:dyDescent="0.3">
      <c r="B111" s="38">
        <f t="shared" si="6"/>
        <v>0</v>
      </c>
      <c r="C111" s="12" t="s">
        <v>587</v>
      </c>
      <c r="D111" s="12" t="s">
        <v>484</v>
      </c>
      <c r="E111" s="12" t="s">
        <v>588</v>
      </c>
      <c r="F111" s="12" t="s">
        <v>285</v>
      </c>
      <c r="G111" s="31">
        <f>INDEX('03 VAT return'!$E$56:$E$63,MATCH(F111,'03 VAT return'!$B$56:$B$63,0))</f>
        <v>0.25</v>
      </c>
      <c r="H111" s="13">
        <v>-3440</v>
      </c>
      <c r="I111" s="13">
        <v>-860</v>
      </c>
      <c r="J111" s="13">
        <f>IF(INDEX('03 VAT return'!$F$56:$F$63,MATCH(F111,'03 VAT return'!$B$56:$B$63,0))="Yes",0,ROUND(H111*G111,2))</f>
        <v>-860</v>
      </c>
      <c r="K111" s="31">
        <f t="shared" si="7"/>
        <v>0.25</v>
      </c>
      <c r="L111" s="12" t="s">
        <v>249</v>
      </c>
      <c r="M111" s="36">
        <v>1</v>
      </c>
      <c r="N111" s="13">
        <v>-3440</v>
      </c>
      <c r="O111" s="13">
        <v>-860</v>
      </c>
      <c r="P111" s="13">
        <f>IF(INDEX('03 VAT return'!$F$56:$F$63,MATCH(F111,'03 VAT return'!$B$56:$B$63,0))="Yes",ROUND(N111*G111,2),0)</f>
        <v>0</v>
      </c>
      <c r="Q111" s="13">
        <f>IF(INDEX('03 VAT return'!$D$56:$D$63,MATCH(F111,'03 VAT return'!$B$56:$B$63,0))="AP",O111+P111,0)</f>
        <v>-860</v>
      </c>
      <c r="R111" s="12" t="s">
        <v>288</v>
      </c>
      <c r="S111" s="12">
        <v>-5</v>
      </c>
      <c r="T111" s="13">
        <v>688</v>
      </c>
    </row>
    <row r="112" spans="2:20" x14ac:dyDescent="0.3">
      <c r="B112" s="37">
        <f t="shared" si="6"/>
        <v>0</v>
      </c>
      <c r="C112" s="8" t="s">
        <v>589</v>
      </c>
      <c r="D112" s="8" t="s">
        <v>485</v>
      </c>
      <c r="E112" s="8" t="s">
        <v>590</v>
      </c>
      <c r="F112" s="8" t="s">
        <v>289</v>
      </c>
      <c r="G112" s="30">
        <f>INDEX('03 VAT return'!$E$56:$E$63,MATCH(F112,'03 VAT return'!$B$56:$B$63,0))</f>
        <v>0.25</v>
      </c>
      <c r="H112" s="9">
        <v>4000</v>
      </c>
      <c r="I112" s="9">
        <v>0</v>
      </c>
      <c r="J112" s="9">
        <f>IF(INDEX('03 VAT return'!$F$56:$F$63,MATCH(F112,'03 VAT return'!$B$56:$B$63,0))="Yes",0,ROUND(H112*G112,2))</f>
        <v>0</v>
      </c>
      <c r="K112" s="30">
        <f t="shared" si="7"/>
        <v>0</v>
      </c>
      <c r="L112" s="8" t="s">
        <v>428</v>
      </c>
      <c r="M112" s="35">
        <v>10.8</v>
      </c>
      <c r="N112" s="9">
        <v>43200</v>
      </c>
      <c r="O112" s="9">
        <v>0</v>
      </c>
      <c r="P112" s="9">
        <f>IF(INDEX('03 VAT return'!$F$56:$F$63,MATCH(F112,'03 VAT return'!$B$56:$B$63,0))="Yes",ROUND(N112*G112,2),0)</f>
        <v>10800</v>
      </c>
      <c r="Q112" s="9">
        <f>IF(INDEX('03 VAT return'!$D$56:$D$63,MATCH(F112,'03 VAT return'!$B$56:$B$63,0))="AP",O112+P112,0)</f>
        <v>10800</v>
      </c>
      <c r="R112" s="8" t="s">
        <v>293</v>
      </c>
      <c r="S112" s="8">
        <v>1</v>
      </c>
      <c r="T112" s="9">
        <v>4000</v>
      </c>
    </row>
    <row r="113" spans="2:20" x14ac:dyDescent="0.3">
      <c r="B113" s="38">
        <f t="shared" si="6"/>
        <v>0</v>
      </c>
      <c r="C113" s="12" t="s">
        <v>591</v>
      </c>
      <c r="D113" s="12" t="s">
        <v>68</v>
      </c>
      <c r="E113" s="12" t="s">
        <v>592</v>
      </c>
      <c r="F113" s="12" t="s">
        <v>294</v>
      </c>
      <c r="G113" s="31">
        <f>INDEX('03 VAT return'!$E$56:$E$63,MATCH(F113,'03 VAT return'!$B$56:$B$63,0))</f>
        <v>0.25</v>
      </c>
      <c r="H113" s="13">
        <v>2000</v>
      </c>
      <c r="I113" s="13">
        <v>0</v>
      </c>
      <c r="J113" s="13">
        <f>IF(INDEX('03 VAT return'!$F$56:$F$63,MATCH(F113,'03 VAT return'!$B$56:$B$63,0))="Yes",0,ROUND(H113*G113,2))</f>
        <v>0</v>
      </c>
      <c r="K113" s="31">
        <f t="shared" si="7"/>
        <v>0</v>
      </c>
      <c r="L113" s="12" t="s">
        <v>491</v>
      </c>
      <c r="M113" s="36">
        <v>10.4</v>
      </c>
      <c r="N113" s="13">
        <v>20800</v>
      </c>
      <c r="O113" s="13">
        <v>0</v>
      </c>
      <c r="P113" s="13">
        <f>IF(INDEX('03 VAT return'!$F$56:$F$63,MATCH(F113,'03 VAT return'!$B$56:$B$63,0))="Yes",ROUND(N113*G113,2),0)</f>
        <v>5200</v>
      </c>
      <c r="Q113" s="13">
        <f>IF(INDEX('03 VAT return'!$D$56:$D$63,MATCH(F113,'03 VAT return'!$B$56:$B$63,0))="AP",O113+P113,0)</f>
        <v>5200</v>
      </c>
      <c r="R113" s="12" t="s">
        <v>297</v>
      </c>
      <c r="S113" s="12">
        <v>1</v>
      </c>
      <c r="T113" s="13">
        <v>2000</v>
      </c>
    </row>
    <row r="114" spans="2:20" x14ac:dyDescent="0.3">
      <c r="B114" s="37">
        <f t="shared" si="6"/>
        <v>0</v>
      </c>
      <c r="C114" s="8" t="s">
        <v>593</v>
      </c>
      <c r="D114" s="8" t="s">
        <v>492</v>
      </c>
      <c r="E114" s="8" t="s">
        <v>594</v>
      </c>
      <c r="F114" s="8" t="s">
        <v>298</v>
      </c>
      <c r="G114" s="30">
        <f>INDEX('03 VAT return'!$E$56:$E$63,MATCH(F114,'03 VAT return'!$B$56:$B$63,0))</f>
        <v>0.25</v>
      </c>
      <c r="H114" s="9">
        <v>9600</v>
      </c>
      <c r="I114" s="9">
        <v>0</v>
      </c>
      <c r="J114" s="9">
        <f>IF(INDEX('03 VAT return'!$F$56:$F$63,MATCH(F114,'03 VAT return'!$B$56:$B$63,0))="Yes",0,ROUND(H114*G114,2))</f>
        <v>0</v>
      </c>
      <c r="K114" s="30">
        <f t="shared" si="7"/>
        <v>0</v>
      </c>
      <c r="L114" s="8" t="s">
        <v>249</v>
      </c>
      <c r="M114" s="35">
        <v>1</v>
      </c>
      <c r="N114" s="9">
        <v>9600</v>
      </c>
      <c r="O114" s="9">
        <v>0</v>
      </c>
      <c r="P114" s="9">
        <f>IF(INDEX('03 VAT return'!$F$56:$F$63,MATCH(F114,'03 VAT return'!$B$56:$B$63,0))="Yes",ROUND(N114*G114,2),0)</f>
        <v>2400</v>
      </c>
      <c r="Q114" s="9">
        <f>IF(INDEX('03 VAT return'!$D$56:$D$63,MATCH(F114,'03 VAT return'!$B$56:$B$63,0))="AP",O114+P114,0)</f>
        <v>2400</v>
      </c>
      <c r="R114" s="8" t="s">
        <v>301</v>
      </c>
      <c r="S114" s="8">
        <v>1</v>
      </c>
      <c r="T114" s="9">
        <v>9600</v>
      </c>
    </row>
    <row r="115" spans="2:20" x14ac:dyDescent="0.3">
      <c r="B115" s="32" t="s">
        <v>307</v>
      </c>
      <c r="C115" s="32"/>
      <c r="D115" s="32"/>
      <c r="E115" s="32"/>
      <c r="F115" s="32"/>
      <c r="G115" s="32"/>
      <c r="H115" s="32"/>
      <c r="I115" s="32"/>
      <c r="J115" s="32"/>
      <c r="K115" s="32"/>
      <c r="L115" s="32"/>
      <c r="M115" s="32"/>
      <c r="N115" s="33">
        <f>SUM(N50:N114)</f>
        <v>2824000</v>
      </c>
      <c r="O115" s="33">
        <f>SUM(O50:O114)</f>
        <v>392500</v>
      </c>
      <c r="P115" s="33">
        <f>SUM(P50:P114)</f>
        <v>18400</v>
      </c>
      <c r="Q115" s="33">
        <f>SUM(Q50:Q114)</f>
        <v>82250</v>
      </c>
      <c r="R115" s="32"/>
      <c r="S115" s="32"/>
      <c r="T115" s="32"/>
    </row>
    <row r="117" spans="2:20" ht="28.05" customHeight="1" x14ac:dyDescent="0.3">
      <c r="B117" s="40" t="s">
        <v>595</v>
      </c>
      <c r="C117" s="41"/>
      <c r="D117" s="41"/>
      <c r="E117" s="41"/>
      <c r="F117" s="41"/>
      <c r="G117" s="41"/>
      <c r="H117" s="41"/>
      <c r="I117" s="41"/>
      <c r="J117" s="41"/>
      <c r="K117" s="41"/>
      <c r="L117" s="41"/>
      <c r="M117" s="41"/>
    </row>
    <row r="119" spans="2:20" x14ac:dyDescent="0.3">
      <c r="B119" s="6" t="s">
        <v>596</v>
      </c>
    </row>
    <row r="120" spans="2:20" ht="27.6" x14ac:dyDescent="0.3">
      <c r="B120" s="7" t="s">
        <v>28</v>
      </c>
      <c r="C120" s="7" t="s">
        <v>597</v>
      </c>
      <c r="D120" s="7" t="s">
        <v>385</v>
      </c>
      <c r="E120" s="7" t="s">
        <v>11</v>
      </c>
      <c r="F120" s="7" t="s">
        <v>391</v>
      </c>
      <c r="G120" s="7" t="s">
        <v>598</v>
      </c>
      <c r="H120" s="7" t="s">
        <v>599</v>
      </c>
      <c r="I120" s="7" t="s">
        <v>600</v>
      </c>
      <c r="J120" s="7" t="s">
        <v>601</v>
      </c>
      <c r="K120" s="7" t="s">
        <v>602</v>
      </c>
      <c r="L120" s="7" t="s">
        <v>603</v>
      </c>
    </row>
    <row r="121" spans="2:20" x14ac:dyDescent="0.3">
      <c r="B121" s="10">
        <f>ROUND(K121-L121,2)</f>
        <v>3210</v>
      </c>
      <c r="C121" s="8" t="s">
        <v>424</v>
      </c>
      <c r="D121" s="18">
        <v>46089</v>
      </c>
      <c r="E121" s="8" t="s">
        <v>428</v>
      </c>
      <c r="F121" s="9">
        <f>I19</f>
        <v>30000</v>
      </c>
      <c r="G121" s="35">
        <f>H19</f>
        <v>10.8</v>
      </c>
      <c r="H121" s="35">
        <v>10.693</v>
      </c>
      <c r="I121" s="18">
        <v>46087</v>
      </c>
      <c r="J121" s="30">
        <f>ROUND(G121/H121-1,6)</f>
        <v>1.0007E-2</v>
      </c>
      <c r="K121" s="9">
        <f>L19</f>
        <v>324000</v>
      </c>
      <c r="L121" s="9">
        <f>ROUND(F121*H121,2)</f>
        <v>320790</v>
      </c>
    </row>
    <row r="122" spans="2:20" x14ac:dyDescent="0.3">
      <c r="B122" s="14">
        <f>ROUND(K122-L122,2)</f>
        <v>121.5</v>
      </c>
      <c r="C122" s="12" t="s">
        <v>435</v>
      </c>
      <c r="D122" s="19">
        <v>46095</v>
      </c>
      <c r="E122" s="12" t="s">
        <v>439</v>
      </c>
      <c r="F122" s="13">
        <f>I22</f>
        <v>150000</v>
      </c>
      <c r="G122" s="36">
        <f>H22</f>
        <v>1.44</v>
      </c>
      <c r="H122" s="36">
        <v>1.43919</v>
      </c>
      <c r="I122" s="19">
        <v>46094</v>
      </c>
      <c r="J122" s="31">
        <f>ROUND(G122/H122-1,6)</f>
        <v>5.6300000000000002E-4</v>
      </c>
      <c r="K122" s="13">
        <f>L22</f>
        <v>216000</v>
      </c>
      <c r="L122" s="13">
        <f>ROUND(F122*H122,2)</f>
        <v>215878.5</v>
      </c>
    </row>
    <row r="123" spans="2:20" x14ac:dyDescent="0.3">
      <c r="B123" s="10">
        <f>ROUND(K123-L123,2)</f>
        <v>262.5</v>
      </c>
      <c r="C123" s="8" t="s">
        <v>446</v>
      </c>
      <c r="D123" s="18">
        <v>46101</v>
      </c>
      <c r="E123" s="8" t="s">
        <v>428</v>
      </c>
      <c r="F123" s="9">
        <f>I25</f>
        <v>15000</v>
      </c>
      <c r="G123" s="35">
        <f>H25</f>
        <v>10.8</v>
      </c>
      <c r="H123" s="35">
        <v>10.782500000000001</v>
      </c>
      <c r="I123" s="18">
        <v>46101</v>
      </c>
      <c r="J123" s="30">
        <f>ROUND(G123/H123-1,6)</f>
        <v>1.6230000000000001E-3</v>
      </c>
      <c r="K123" s="9">
        <f>L25</f>
        <v>162000</v>
      </c>
      <c r="L123" s="9">
        <f>ROUND(F123*H123,2)</f>
        <v>161737.5</v>
      </c>
    </row>
    <row r="124" spans="2:20" x14ac:dyDescent="0.3">
      <c r="B124" s="14">
        <f>ROUND(K124-L124,2)</f>
        <v>88.8</v>
      </c>
      <c r="C124" s="12" t="s">
        <v>485</v>
      </c>
      <c r="D124" s="19">
        <v>46099</v>
      </c>
      <c r="E124" s="12" t="s">
        <v>428</v>
      </c>
      <c r="F124" s="13">
        <f>I43</f>
        <v>4000</v>
      </c>
      <c r="G124" s="36">
        <f>H43</f>
        <v>10.8</v>
      </c>
      <c r="H124" s="36">
        <v>10.777799999999999</v>
      </c>
      <c r="I124" s="19">
        <v>46099</v>
      </c>
      <c r="J124" s="31">
        <f>ROUND(G124/H124-1,6)</f>
        <v>2.0600000000000002E-3</v>
      </c>
      <c r="K124" s="13">
        <f>L43</f>
        <v>43200</v>
      </c>
      <c r="L124" s="13">
        <f>ROUND(F124*H124,2)</f>
        <v>43111.199999999997</v>
      </c>
    </row>
    <row r="125" spans="2:20" x14ac:dyDescent="0.3">
      <c r="B125" s="10">
        <f>ROUND(K125-L125,2)</f>
        <v>2137.08</v>
      </c>
      <c r="C125" s="8" t="s">
        <v>68</v>
      </c>
      <c r="D125" s="18">
        <v>46101</v>
      </c>
      <c r="E125" s="8" t="s">
        <v>491</v>
      </c>
      <c r="F125" s="9">
        <f>I44</f>
        <v>2000</v>
      </c>
      <c r="G125" s="35">
        <f>H44</f>
        <v>10.4</v>
      </c>
      <c r="H125" s="35">
        <v>9.3314599999999999</v>
      </c>
      <c r="I125" s="18">
        <v>46101</v>
      </c>
      <c r="J125" s="30">
        <f>ROUND(G125/H125-1,6)</f>
        <v>0.114509</v>
      </c>
      <c r="K125" s="9">
        <f>L44</f>
        <v>20800</v>
      </c>
      <c r="L125" s="9">
        <f>ROUND(F125*H125,2)</f>
        <v>18662.919999999998</v>
      </c>
    </row>
    <row r="127" spans="2:20" ht="28.05" customHeight="1" x14ac:dyDescent="0.3">
      <c r="B127" s="40" t="s">
        <v>604</v>
      </c>
      <c r="C127" s="41"/>
      <c r="D127" s="41"/>
      <c r="E127" s="41"/>
      <c r="F127" s="41"/>
      <c r="G127" s="41"/>
      <c r="H127" s="41"/>
      <c r="I127" s="41"/>
      <c r="J127" s="41"/>
      <c r="K127" s="41"/>
      <c r="L127" s="41"/>
      <c r="M127" s="41"/>
    </row>
  </sheetData>
  <mergeCells count="2">
    <mergeCell ref="B117:M117"/>
    <mergeCell ref="B127:M127"/>
  </mergeCells>
  <conditionalFormatting sqref="B50:B114">
    <cfRule type="expression" dxfId="15" priority="1">
      <formula>ABS(B50)&lt;0.01</formula>
    </cfRule>
    <cfRule type="expression" dxfId="14" priority="2">
      <formula>ABS(B50)&gt;=0.01</formula>
    </cfRule>
  </conditionalFormatting>
  <conditionalFormatting sqref="B121:B125">
    <cfRule type="expression" dxfId="13" priority="3">
      <formula>NOT(ABS($J121)&gt;0.02)</formula>
    </cfRule>
    <cfRule type="expression" dxfId="12" priority="4">
      <formula>ABS($J121)&gt;0.02</formula>
    </cfRule>
  </conditionalFormatting>
  <hyperlinks>
    <hyperlink ref="U1" location="'00 Summary'!B2" display="← Summary" xr:uid="{00000000-0004-0000-0500-000000000000}"/>
  </hyperlinks>
  <pageMargins left="0.75" right="0.75" top="1" bottom="1" header="0.5" footer="0.5"/>
  <pageSetup fitToHeight="0" orientation="landscape"/>
  <headerFooter>
    <oddFooter>&amp;LVatli sample · v5 · built 2026-09-24&amp;R&amp;A · page &amp;P of &amp;N</oddFooter>
  </headerFooter>
  <tableParts count="3">
    <tablePart r:id="rId1"/>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J31"/>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2" customWidth="1"/>
    <col min="2" max="2" width="15" customWidth="1"/>
    <col min="3" max="3" width="13" customWidth="1"/>
    <col min="4" max="4" width="30" customWidth="1"/>
    <col min="5" max="5" width="10" customWidth="1"/>
    <col min="6" max="6" width="17" customWidth="1"/>
    <col min="7" max="7" width="14" customWidth="1"/>
    <col min="8" max="9" width="16" customWidth="1"/>
  </cols>
  <sheetData>
    <row r="1" spans="2:10" x14ac:dyDescent="0.3">
      <c r="B1" s="1" t="s">
        <v>0</v>
      </c>
      <c r="J1" s="21" t="s">
        <v>97</v>
      </c>
    </row>
    <row r="2" spans="2:10" ht="21" x14ac:dyDescent="0.4">
      <c r="B2" s="2" t="s">
        <v>605</v>
      </c>
    </row>
    <row r="3" spans="2:10" x14ac:dyDescent="0.3">
      <c r="B3" s="3" t="s">
        <v>606</v>
      </c>
    </row>
    <row r="5" spans="2:10" x14ac:dyDescent="0.3">
      <c r="B5" s="6" t="s">
        <v>607</v>
      </c>
    </row>
    <row r="6" spans="2:10" x14ac:dyDescent="0.3">
      <c r="B6" s="7" t="s">
        <v>608</v>
      </c>
      <c r="C6" s="7" t="s">
        <v>384</v>
      </c>
      <c r="D6" s="7" t="s">
        <v>386</v>
      </c>
      <c r="E6" s="7" t="s">
        <v>387</v>
      </c>
      <c r="F6" s="7" t="s">
        <v>388</v>
      </c>
      <c r="G6" s="7" t="s">
        <v>609</v>
      </c>
      <c r="H6" s="7" t="s">
        <v>610</v>
      </c>
      <c r="I6" s="7" t="s">
        <v>611</v>
      </c>
    </row>
    <row r="7" spans="2:10" x14ac:dyDescent="0.3">
      <c r="B7" s="8" t="str">
        <f t="shared" ref="B7:B15" si="0">IF(AND(LEN(F7)&gt;2,LEFT(F7,2)=E7),"Present","Missing")</f>
        <v>Present</v>
      </c>
      <c r="C7" s="8" t="s">
        <v>424</v>
      </c>
      <c r="D7" s="8" t="s">
        <v>425</v>
      </c>
      <c r="E7" s="8" t="s">
        <v>426</v>
      </c>
      <c r="F7" s="8" t="s">
        <v>427</v>
      </c>
      <c r="G7" s="8" t="s">
        <v>612</v>
      </c>
      <c r="H7" s="9">
        <f>IF(G7="Goods",SUMIFS('05 Invoices &amp; lines'!$N$50:$N$114,'05 Invoices &amp; lines'!$D$50:$D$114,C7),0)</f>
        <v>324000</v>
      </c>
      <c r="I7" s="9">
        <f>IF(G7="Services",SUMIFS('05 Invoices &amp; lines'!$N$50:$N$114,'05 Invoices &amp; lines'!$D$50:$D$114,C7),0)</f>
        <v>0</v>
      </c>
    </row>
    <row r="8" spans="2:10" x14ac:dyDescent="0.3">
      <c r="B8" s="12" t="str">
        <f t="shared" si="0"/>
        <v>Present</v>
      </c>
      <c r="C8" s="12" t="s">
        <v>429</v>
      </c>
      <c r="D8" s="12" t="s">
        <v>430</v>
      </c>
      <c r="E8" s="12" t="s">
        <v>426</v>
      </c>
      <c r="F8" s="12" t="s">
        <v>431</v>
      </c>
      <c r="G8" s="12" t="s">
        <v>612</v>
      </c>
      <c r="H8" s="13">
        <f>IF(G8="Goods",SUMIFS('05 Invoices &amp; lines'!$N$50:$N$114,'05 Invoices &amp; lines'!$D$50:$D$114,C8),0)</f>
        <v>306000</v>
      </c>
      <c r="I8" s="13">
        <f>IF(G8="Services",SUMIFS('05 Invoices &amp; lines'!$N$50:$N$114,'05 Invoices &amp; lines'!$D$50:$D$114,C8),0)</f>
        <v>0</v>
      </c>
    </row>
    <row r="9" spans="2:10" x14ac:dyDescent="0.3">
      <c r="B9" s="8" t="str">
        <f t="shared" si="0"/>
        <v>Present</v>
      </c>
      <c r="C9" s="8" t="s">
        <v>432</v>
      </c>
      <c r="D9" s="8" t="s">
        <v>433</v>
      </c>
      <c r="E9" s="8" t="s">
        <v>426</v>
      </c>
      <c r="F9" s="8" t="s">
        <v>434</v>
      </c>
      <c r="G9" s="8" t="s">
        <v>613</v>
      </c>
      <c r="H9" s="9">
        <f>IF(G9="Goods",SUMIFS('05 Invoices &amp; lines'!$N$50:$N$114,'05 Invoices &amp; lines'!$D$50:$D$114,C9),0)</f>
        <v>0</v>
      </c>
      <c r="I9" s="9">
        <f>IF(G9="Services",SUMIFS('05 Invoices &amp; lines'!$N$50:$N$114,'05 Invoices &amp; lines'!$D$50:$D$114,C9),0)</f>
        <v>35000</v>
      </c>
    </row>
    <row r="10" spans="2:10" x14ac:dyDescent="0.3">
      <c r="B10" s="12" t="str">
        <f t="shared" si="0"/>
        <v>Present</v>
      </c>
      <c r="C10" s="12" t="s">
        <v>435</v>
      </c>
      <c r="D10" s="12" t="s">
        <v>436</v>
      </c>
      <c r="E10" s="12" t="s">
        <v>437</v>
      </c>
      <c r="F10" s="12" t="s">
        <v>438</v>
      </c>
      <c r="G10" s="12" t="s">
        <v>612</v>
      </c>
      <c r="H10" s="13">
        <f>IF(G10="Goods",SUMIFS('05 Invoices &amp; lines'!$N$50:$N$114,'05 Invoices &amp; lines'!$D$50:$D$114,C10),0)</f>
        <v>216000</v>
      </c>
      <c r="I10" s="13">
        <f>IF(G10="Services",SUMIFS('05 Invoices &amp; lines'!$N$50:$N$114,'05 Invoices &amp; lines'!$D$50:$D$114,C10),0)</f>
        <v>0</v>
      </c>
    </row>
    <row r="11" spans="2:10" x14ac:dyDescent="0.3">
      <c r="B11" s="8" t="str">
        <f t="shared" si="0"/>
        <v>Present</v>
      </c>
      <c r="C11" s="8" t="s">
        <v>440</v>
      </c>
      <c r="D11" s="8" t="s">
        <v>441</v>
      </c>
      <c r="E11" s="8" t="s">
        <v>437</v>
      </c>
      <c r="F11" s="8" t="s">
        <v>442</v>
      </c>
      <c r="G11" s="8" t="s">
        <v>612</v>
      </c>
      <c r="H11" s="9">
        <f>IF(G11="Goods",SUMIFS('05 Invoices &amp; lines'!$N$50:$N$114,'05 Invoices &amp; lines'!$D$50:$D$114,C11),0)</f>
        <v>69000</v>
      </c>
      <c r="I11" s="9">
        <f>IF(G11="Services",SUMIFS('05 Invoices &amp; lines'!$N$50:$N$114,'05 Invoices &amp; lines'!$D$50:$D$114,C11),0)</f>
        <v>0</v>
      </c>
    </row>
    <row r="12" spans="2:10" x14ac:dyDescent="0.3">
      <c r="B12" s="12" t="str">
        <f t="shared" si="0"/>
        <v>Present</v>
      </c>
      <c r="C12" s="12" t="s">
        <v>443</v>
      </c>
      <c r="D12" s="12" t="s">
        <v>444</v>
      </c>
      <c r="E12" s="12" t="s">
        <v>437</v>
      </c>
      <c r="F12" s="12" t="s">
        <v>445</v>
      </c>
      <c r="G12" s="12" t="s">
        <v>613</v>
      </c>
      <c r="H12" s="13">
        <f>IF(G12="Goods",SUMIFS('05 Invoices &amp; lines'!$N$50:$N$114,'05 Invoices &amp; lines'!$D$50:$D$114,C12),0)</f>
        <v>0</v>
      </c>
      <c r="I12" s="13">
        <f>IF(G12="Services",SUMIFS('05 Invoices &amp; lines'!$N$50:$N$114,'05 Invoices &amp; lines'!$D$50:$D$114,C12),0)</f>
        <v>15000</v>
      </c>
    </row>
    <row r="13" spans="2:10" x14ac:dyDescent="0.3">
      <c r="B13" s="8" t="str">
        <f t="shared" si="0"/>
        <v>Present</v>
      </c>
      <c r="C13" s="8" t="s">
        <v>446</v>
      </c>
      <c r="D13" s="8" t="s">
        <v>447</v>
      </c>
      <c r="E13" s="8" t="s">
        <v>448</v>
      </c>
      <c r="F13" s="8" t="s">
        <v>449</v>
      </c>
      <c r="G13" s="8" t="s">
        <v>612</v>
      </c>
      <c r="H13" s="9">
        <f>IF(G13="Goods",SUMIFS('05 Invoices &amp; lines'!$N$50:$N$114,'05 Invoices &amp; lines'!$D$50:$D$114,C13),0)</f>
        <v>162000</v>
      </c>
      <c r="I13" s="9">
        <f>IF(G13="Services",SUMIFS('05 Invoices &amp; lines'!$N$50:$N$114,'05 Invoices &amp; lines'!$D$50:$D$114,C13),0)</f>
        <v>0</v>
      </c>
    </row>
    <row r="14" spans="2:10" x14ac:dyDescent="0.3">
      <c r="B14" s="12" t="str">
        <f t="shared" si="0"/>
        <v>Present</v>
      </c>
      <c r="C14" s="12" t="s">
        <v>450</v>
      </c>
      <c r="D14" s="12" t="s">
        <v>451</v>
      </c>
      <c r="E14" s="12" t="s">
        <v>448</v>
      </c>
      <c r="F14" s="12" t="s">
        <v>452</v>
      </c>
      <c r="G14" s="12" t="s">
        <v>612</v>
      </c>
      <c r="H14" s="13">
        <f>IF(G14="Goods",SUMIFS('05 Invoices &amp; lines'!$N$50:$N$114,'05 Invoices &amp; lines'!$D$50:$D$114,C14),0)</f>
        <v>18000</v>
      </c>
      <c r="I14" s="13">
        <f>IF(G14="Services",SUMIFS('05 Invoices &amp; lines'!$N$50:$N$114,'05 Invoices &amp; lines'!$D$50:$D$114,C14),0)</f>
        <v>0</v>
      </c>
    </row>
    <row r="15" spans="2:10" x14ac:dyDescent="0.3">
      <c r="B15" s="8" t="str">
        <f t="shared" si="0"/>
        <v>Present</v>
      </c>
      <c r="C15" s="8" t="s">
        <v>453</v>
      </c>
      <c r="D15" s="8" t="s">
        <v>454</v>
      </c>
      <c r="E15" s="8" t="s">
        <v>448</v>
      </c>
      <c r="F15" s="8" t="s">
        <v>455</v>
      </c>
      <c r="G15" s="8" t="s">
        <v>613</v>
      </c>
      <c r="H15" s="9">
        <f>IF(G15="Goods",SUMIFS('05 Invoices &amp; lines'!$N$50:$N$114,'05 Invoices &amp; lines'!$D$50:$D$114,C15),0)</f>
        <v>0</v>
      </c>
      <c r="I15" s="9">
        <f>IF(G15="Services",SUMIFS('05 Invoices &amp; lines'!$N$50:$N$114,'05 Invoices &amp; lines'!$D$50:$D$114,C15),0)</f>
        <v>5000</v>
      </c>
    </row>
    <row r="16" spans="2:10" x14ac:dyDescent="0.3">
      <c r="B16" s="32" t="s">
        <v>307</v>
      </c>
      <c r="C16" s="32"/>
      <c r="D16" s="32"/>
      <c r="E16" s="32"/>
      <c r="F16" s="32"/>
      <c r="G16" s="32"/>
      <c r="H16" s="33">
        <f>SUM(H7:H15)</f>
        <v>1095000</v>
      </c>
      <c r="I16" s="33">
        <f>SUM(I7:I15)</f>
        <v>55000</v>
      </c>
    </row>
    <row r="18" spans="2:8" x14ac:dyDescent="0.3">
      <c r="B18" s="6" t="s">
        <v>614</v>
      </c>
    </row>
    <row r="19" spans="2:8" ht="27.6" x14ac:dyDescent="0.3">
      <c r="B19" s="7" t="s">
        <v>615</v>
      </c>
      <c r="C19" s="7" t="s">
        <v>610</v>
      </c>
      <c r="D19" s="7" t="s">
        <v>616</v>
      </c>
      <c r="E19" s="7" t="s">
        <v>611</v>
      </c>
    </row>
    <row r="20" spans="2:8" x14ac:dyDescent="0.3">
      <c r="B20" s="8" t="s">
        <v>427</v>
      </c>
      <c r="C20" s="28">
        <f t="shared" ref="C20:C28" si="1">ROUND(SUMIFS($H$7:$H$15,$F$7:$F$15,B20),0)</f>
        <v>324000</v>
      </c>
      <c r="D20" s="28">
        <v>0</v>
      </c>
      <c r="E20" s="28">
        <f t="shared" ref="E20:E28" si="2">ROUND(SUMIFS($I$7:$I$15,$F$7:$F$15,B20),0)</f>
        <v>0</v>
      </c>
    </row>
    <row r="21" spans="2:8" x14ac:dyDescent="0.3">
      <c r="B21" s="12" t="s">
        <v>431</v>
      </c>
      <c r="C21" s="29">
        <f t="shared" si="1"/>
        <v>306000</v>
      </c>
      <c r="D21" s="29">
        <v>0</v>
      </c>
      <c r="E21" s="29">
        <f t="shared" si="2"/>
        <v>0</v>
      </c>
    </row>
    <row r="22" spans="2:8" x14ac:dyDescent="0.3">
      <c r="B22" s="8" t="s">
        <v>434</v>
      </c>
      <c r="C22" s="28">
        <f t="shared" si="1"/>
        <v>0</v>
      </c>
      <c r="D22" s="28">
        <v>0</v>
      </c>
      <c r="E22" s="28">
        <f t="shared" si="2"/>
        <v>35000</v>
      </c>
    </row>
    <row r="23" spans="2:8" x14ac:dyDescent="0.3">
      <c r="B23" s="12" t="s">
        <v>438</v>
      </c>
      <c r="C23" s="29">
        <f t="shared" si="1"/>
        <v>216000</v>
      </c>
      <c r="D23" s="29">
        <v>0</v>
      </c>
      <c r="E23" s="29">
        <f t="shared" si="2"/>
        <v>0</v>
      </c>
    </row>
    <row r="24" spans="2:8" x14ac:dyDescent="0.3">
      <c r="B24" s="8" t="s">
        <v>442</v>
      </c>
      <c r="C24" s="28">
        <f t="shared" si="1"/>
        <v>69000</v>
      </c>
      <c r="D24" s="28">
        <v>0</v>
      </c>
      <c r="E24" s="28">
        <f t="shared" si="2"/>
        <v>0</v>
      </c>
    </row>
    <row r="25" spans="2:8" x14ac:dyDescent="0.3">
      <c r="B25" s="12" t="s">
        <v>445</v>
      </c>
      <c r="C25" s="29">
        <f t="shared" si="1"/>
        <v>0</v>
      </c>
      <c r="D25" s="29">
        <v>0</v>
      </c>
      <c r="E25" s="29">
        <f t="shared" si="2"/>
        <v>15000</v>
      </c>
    </row>
    <row r="26" spans="2:8" x14ac:dyDescent="0.3">
      <c r="B26" s="8" t="s">
        <v>449</v>
      </c>
      <c r="C26" s="28">
        <f t="shared" si="1"/>
        <v>162000</v>
      </c>
      <c r="D26" s="28">
        <v>0</v>
      </c>
      <c r="E26" s="28">
        <f t="shared" si="2"/>
        <v>0</v>
      </c>
    </row>
    <row r="27" spans="2:8" x14ac:dyDescent="0.3">
      <c r="B27" s="12" t="s">
        <v>452</v>
      </c>
      <c r="C27" s="29">
        <f t="shared" si="1"/>
        <v>18000</v>
      </c>
      <c r="D27" s="29">
        <v>0</v>
      </c>
      <c r="E27" s="29">
        <f t="shared" si="2"/>
        <v>0</v>
      </c>
    </row>
    <row r="28" spans="2:8" x14ac:dyDescent="0.3">
      <c r="B28" s="8" t="s">
        <v>455</v>
      </c>
      <c r="C28" s="28">
        <f t="shared" si="1"/>
        <v>0</v>
      </c>
      <c r="D28" s="28">
        <v>0</v>
      </c>
      <c r="E28" s="28">
        <f t="shared" si="2"/>
        <v>5000</v>
      </c>
    </row>
    <row r="29" spans="2:8" x14ac:dyDescent="0.3">
      <c r="B29" s="32" t="s">
        <v>307</v>
      </c>
      <c r="C29" s="39">
        <f>SUM(C20:C28)</f>
        <v>1095000</v>
      </c>
      <c r="D29" s="39">
        <f>SUM(D20:D28)</f>
        <v>0</v>
      </c>
      <c r="E29" s="39">
        <f>SUM(E20:E28)</f>
        <v>55000</v>
      </c>
    </row>
    <row r="31" spans="2:8" ht="28.05" customHeight="1" x14ac:dyDescent="0.3">
      <c r="B31" s="40" t="s">
        <v>617</v>
      </c>
      <c r="C31" s="41"/>
      <c r="D31" s="41"/>
      <c r="E31" s="41"/>
      <c r="F31" s="41"/>
      <c r="G31" s="41"/>
      <c r="H31" s="41"/>
    </row>
  </sheetData>
  <mergeCells count="1">
    <mergeCell ref="B31:H31"/>
  </mergeCells>
  <conditionalFormatting sqref="B7:B15">
    <cfRule type="cellIs" dxfId="11" priority="1" operator="equal">
      <formula>"Present"</formula>
    </cfRule>
    <cfRule type="cellIs" dxfId="10" priority="2" operator="equal">
      <formula>"Resolved"</formula>
    </cfRule>
    <cfRule type="cellIs" dxfId="9" priority="3" operator="equal">
      <formula>"Approved"</formula>
    </cfRule>
    <cfRule type="cellIs" dxfId="8" priority="4" operator="equal">
      <formula>"Paid"</formula>
    </cfRule>
    <cfRule type="cellIs" dxfId="7" priority="5" operator="equal">
      <formula>"Missing"</formula>
    </cfRule>
    <cfRule type="cellIs" dxfId="6" priority="6" operator="equal">
      <formula>"Open"</formula>
    </cfRule>
  </conditionalFormatting>
  <hyperlinks>
    <hyperlink ref="J1" location="'00 Summary'!B2" display="← Summary" xr:uid="{00000000-0004-0000-0600-000000000000}"/>
  </hyperlinks>
  <pageMargins left="0.75" right="0.75" top="1" bottom="1" header="0.5" footer="0.5"/>
  <pageSetup fitToHeight="0" orientation="landscape"/>
  <headerFooter>
    <oddFooter>&amp;LVatli sample · v5 · built 2026-09-24&amp;R&amp;A · page &amp;P of &amp;N</oddFooter>
  </headerFooter>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L32"/>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2" customWidth="1"/>
    <col min="2" max="2" width="15" customWidth="1"/>
    <col min="3" max="3" width="13" customWidth="1"/>
    <col min="4" max="4" width="12" customWidth="1"/>
    <col min="5" max="5" width="14" customWidth="1"/>
    <col min="6" max="6" width="44" customWidth="1"/>
    <col min="7" max="7" width="17" customWidth="1"/>
    <col min="8" max="8" width="14" customWidth="1"/>
    <col min="9" max="9" width="17" customWidth="1"/>
    <col min="10" max="10" width="12" customWidth="1"/>
    <col min="11" max="11" width="18" customWidth="1"/>
  </cols>
  <sheetData>
    <row r="1" spans="2:12" x14ac:dyDescent="0.3">
      <c r="B1" s="1" t="s">
        <v>0</v>
      </c>
      <c r="L1" s="21" t="s">
        <v>97</v>
      </c>
    </row>
    <row r="2" spans="2:12" ht="21" x14ac:dyDescent="0.4">
      <c r="B2" s="2" t="s">
        <v>618</v>
      </c>
    </row>
    <row r="3" spans="2:12" x14ac:dyDescent="0.3">
      <c r="B3" s="3" t="s">
        <v>619</v>
      </c>
    </row>
    <row r="5" spans="2:12" x14ac:dyDescent="0.3">
      <c r="B5" s="6" t="s">
        <v>620</v>
      </c>
    </row>
    <row r="6" spans="2:12" ht="27.6" x14ac:dyDescent="0.3">
      <c r="B6" s="7" t="s">
        <v>621</v>
      </c>
      <c r="C6" s="7" t="s">
        <v>622</v>
      </c>
      <c r="D6" s="7" t="s">
        <v>623</v>
      </c>
      <c r="E6" s="7" t="s">
        <v>624</v>
      </c>
      <c r="F6" s="7" t="s">
        <v>625</v>
      </c>
      <c r="G6" s="7" t="s">
        <v>626</v>
      </c>
    </row>
    <row r="7" spans="2:12" x14ac:dyDescent="0.3">
      <c r="B7" s="8" t="s">
        <v>627</v>
      </c>
      <c r="C7" s="28">
        <v>11450000</v>
      </c>
      <c r="D7" s="28">
        <f>'03 VAT return'!$F$15</f>
        <v>1095000</v>
      </c>
      <c r="E7" s="28">
        <f>C7+D7</f>
        <v>12545000</v>
      </c>
      <c r="F7" s="28">
        <v>12000000</v>
      </c>
      <c r="G7" s="8" t="str">
        <f>IF(E7&gt;=F7,"Report due","Below threshold")</f>
        <v>Report due</v>
      </c>
    </row>
    <row r="8" spans="2:12" x14ac:dyDescent="0.3">
      <c r="B8" s="12" t="s">
        <v>628</v>
      </c>
      <c r="C8" s="29">
        <v>104000</v>
      </c>
      <c r="D8" s="29">
        <f>'03 VAT return'!$F$11</f>
        <v>9600</v>
      </c>
      <c r="E8" s="29">
        <f>C8+D8</f>
        <v>113600</v>
      </c>
      <c r="F8" s="29">
        <v>15000000</v>
      </c>
      <c r="G8" s="12" t="str">
        <f>IF(E8&gt;=F8,"Report due","Below threshold")</f>
        <v>Below threshold</v>
      </c>
    </row>
    <row r="10" spans="2:12" ht="28.05" customHeight="1" x14ac:dyDescent="0.3">
      <c r="B10" s="40" t="s">
        <v>629</v>
      </c>
      <c r="C10" s="41"/>
      <c r="D10" s="41"/>
      <c r="E10" s="41"/>
      <c r="F10" s="41"/>
      <c r="G10" s="41"/>
      <c r="H10" s="41"/>
      <c r="I10" s="41"/>
      <c r="J10" s="41"/>
      <c r="K10" s="41"/>
    </row>
    <row r="12" spans="2:12" x14ac:dyDescent="0.3">
      <c r="B12" s="6" t="s">
        <v>630</v>
      </c>
    </row>
    <row r="13" spans="2:12" ht="27.6" x14ac:dyDescent="0.3">
      <c r="B13" s="7" t="s">
        <v>384</v>
      </c>
      <c r="C13" s="7" t="s">
        <v>631</v>
      </c>
      <c r="D13" s="7" t="s">
        <v>632</v>
      </c>
      <c r="E13" s="7" t="s">
        <v>633</v>
      </c>
      <c r="F13" s="7" t="s">
        <v>634</v>
      </c>
      <c r="G13" s="7" t="s">
        <v>635</v>
      </c>
      <c r="H13" s="7" t="s">
        <v>636</v>
      </c>
      <c r="I13" s="7" t="s">
        <v>637</v>
      </c>
      <c r="J13" s="7" t="s">
        <v>638</v>
      </c>
      <c r="K13" s="7" t="s">
        <v>639</v>
      </c>
    </row>
    <row r="14" spans="2:12" x14ac:dyDescent="0.3">
      <c r="B14" s="8" t="s">
        <v>424</v>
      </c>
      <c r="C14" s="8" t="s">
        <v>426</v>
      </c>
      <c r="D14" s="8" t="s">
        <v>400</v>
      </c>
      <c r="E14" s="8" t="s">
        <v>640</v>
      </c>
      <c r="F14" s="8" t="s">
        <v>641</v>
      </c>
      <c r="G14" s="9">
        <f>SUMIFS('05 Invoices &amp; lines'!$N$50:$N$114,'05 Invoices &amp; lines'!$D$50:$D$114,B14)</f>
        <v>324000</v>
      </c>
      <c r="H14" s="28">
        <v>1020</v>
      </c>
      <c r="I14" s="28">
        <v>1200</v>
      </c>
      <c r="J14" s="8" t="s">
        <v>35</v>
      </c>
      <c r="K14" s="8" t="s">
        <v>427</v>
      </c>
    </row>
    <row r="15" spans="2:12" x14ac:dyDescent="0.3">
      <c r="B15" s="12" t="s">
        <v>429</v>
      </c>
      <c r="C15" s="12" t="s">
        <v>426</v>
      </c>
      <c r="D15" s="12" t="s">
        <v>400</v>
      </c>
      <c r="E15" s="12" t="s">
        <v>642</v>
      </c>
      <c r="F15" s="12" t="s">
        <v>643</v>
      </c>
      <c r="G15" s="13">
        <f>SUMIFS('05 Invoices &amp; lines'!$N$50:$N$114,'05 Invoices &amp; lines'!$D$50:$D$114,B15)</f>
        <v>306000</v>
      </c>
      <c r="H15" s="29">
        <v>795</v>
      </c>
      <c r="I15" s="29"/>
      <c r="J15" s="12" t="s">
        <v>35</v>
      </c>
      <c r="K15" s="12" t="s">
        <v>431</v>
      </c>
    </row>
    <row r="16" spans="2:12" x14ac:dyDescent="0.3">
      <c r="B16" s="8" t="s">
        <v>435</v>
      </c>
      <c r="C16" s="8" t="s">
        <v>437</v>
      </c>
      <c r="D16" s="8" t="s">
        <v>400</v>
      </c>
      <c r="E16" s="8" t="s">
        <v>640</v>
      </c>
      <c r="F16" s="8" t="s">
        <v>641</v>
      </c>
      <c r="G16" s="9">
        <f>SUMIFS('05 Invoices &amp; lines'!$N$50:$N$114,'05 Invoices &amp; lines'!$D$50:$D$114,B16)</f>
        <v>216000</v>
      </c>
      <c r="H16" s="28">
        <v>630</v>
      </c>
      <c r="I16" s="28">
        <v>750</v>
      </c>
      <c r="J16" s="8" t="s">
        <v>35</v>
      </c>
      <c r="K16" s="8" t="s">
        <v>438</v>
      </c>
    </row>
    <row r="17" spans="2:11" x14ac:dyDescent="0.3">
      <c r="B17" s="12" t="s">
        <v>440</v>
      </c>
      <c r="C17" s="12" t="s">
        <v>437</v>
      </c>
      <c r="D17" s="12" t="s">
        <v>400</v>
      </c>
      <c r="E17" s="12" t="s">
        <v>642</v>
      </c>
      <c r="F17" s="12" t="s">
        <v>643</v>
      </c>
      <c r="G17" s="13">
        <f>SUMIFS('05 Invoices &amp; lines'!$N$50:$N$114,'05 Invoices &amp; lines'!$D$50:$D$114,B17)</f>
        <v>69000</v>
      </c>
      <c r="H17" s="29">
        <v>222</v>
      </c>
      <c r="I17" s="29"/>
      <c r="J17" s="12" t="s">
        <v>35</v>
      </c>
      <c r="K17" s="12" t="s">
        <v>442</v>
      </c>
    </row>
    <row r="18" spans="2:11" x14ac:dyDescent="0.3">
      <c r="B18" s="8" t="s">
        <v>446</v>
      </c>
      <c r="C18" s="8" t="s">
        <v>448</v>
      </c>
      <c r="D18" s="8" t="s">
        <v>400</v>
      </c>
      <c r="E18" s="8" t="s">
        <v>640</v>
      </c>
      <c r="F18" s="8" t="s">
        <v>641</v>
      </c>
      <c r="G18" s="9">
        <f>SUMIFS('05 Invoices &amp; lines'!$N$50:$N$114,'05 Invoices &amp; lines'!$D$50:$D$114,B18)</f>
        <v>162000</v>
      </c>
      <c r="H18" s="28">
        <v>423</v>
      </c>
      <c r="I18" s="28">
        <v>480</v>
      </c>
      <c r="J18" s="8" t="s">
        <v>35</v>
      </c>
      <c r="K18" s="8" t="s">
        <v>449</v>
      </c>
    </row>
    <row r="19" spans="2:11" x14ac:dyDescent="0.3">
      <c r="B19" s="12" t="s">
        <v>450</v>
      </c>
      <c r="C19" s="12" t="s">
        <v>448</v>
      </c>
      <c r="D19" s="12" t="s">
        <v>400</v>
      </c>
      <c r="E19" s="12" t="s">
        <v>642</v>
      </c>
      <c r="F19" s="12" t="s">
        <v>643</v>
      </c>
      <c r="G19" s="13">
        <f>SUMIFS('05 Invoices &amp; lines'!$N$50:$N$114,'05 Invoices &amp; lines'!$D$50:$D$114,B19)</f>
        <v>18000</v>
      </c>
      <c r="H19" s="29">
        <v>84</v>
      </c>
      <c r="I19" s="29"/>
      <c r="J19" s="12" t="s">
        <v>35</v>
      </c>
      <c r="K19" s="12" t="s">
        <v>452</v>
      </c>
    </row>
    <row r="20" spans="2:11" x14ac:dyDescent="0.3">
      <c r="B20" s="32" t="s">
        <v>307</v>
      </c>
      <c r="C20" s="32"/>
      <c r="D20" s="32"/>
      <c r="E20" s="32"/>
      <c r="F20" s="32"/>
      <c r="G20" s="33">
        <f>SUM(G14:G19)</f>
        <v>1095000</v>
      </c>
      <c r="H20" s="39">
        <f>SUM(H14:H19)</f>
        <v>3174</v>
      </c>
      <c r="I20" s="32"/>
      <c r="J20" s="32"/>
      <c r="K20" s="32"/>
    </row>
    <row r="22" spans="2:11" x14ac:dyDescent="0.3">
      <c r="B22" s="6" t="s">
        <v>644</v>
      </c>
    </row>
    <row r="23" spans="2:11" ht="27.6" x14ac:dyDescent="0.3">
      <c r="B23" s="7" t="s">
        <v>633</v>
      </c>
      <c r="C23" s="7" t="s">
        <v>645</v>
      </c>
      <c r="D23" s="7" t="s">
        <v>646</v>
      </c>
      <c r="E23" s="7" t="s">
        <v>638</v>
      </c>
      <c r="F23" s="7" t="s">
        <v>639</v>
      </c>
      <c r="G23" s="7" t="s">
        <v>636</v>
      </c>
      <c r="H23" s="7" t="s">
        <v>637</v>
      </c>
      <c r="I23" s="7" t="s">
        <v>647</v>
      </c>
    </row>
    <row r="24" spans="2:11" x14ac:dyDescent="0.3">
      <c r="B24" s="8" t="str">
        <f t="shared" ref="B24:B29" si="0">E14</f>
        <v>84716070</v>
      </c>
      <c r="C24" s="8" t="str">
        <f t="shared" ref="C24:D29" si="1">C14</f>
        <v>DE</v>
      </c>
      <c r="D24" s="8" t="str">
        <f t="shared" si="1"/>
        <v>SE</v>
      </c>
      <c r="E24" s="8" t="str">
        <f t="shared" ref="E24:F29" si="2">J14</f>
        <v>11</v>
      </c>
      <c r="F24" s="8" t="str">
        <f t="shared" si="2"/>
        <v>DE-DEMO-C007</v>
      </c>
      <c r="G24" s="28">
        <f t="shared" ref="G24:G29" si="3">H14</f>
        <v>1020</v>
      </c>
      <c r="H24" s="28">
        <f t="shared" ref="H24:H29" si="4">IF(I14="","",I14)</f>
        <v>1200</v>
      </c>
      <c r="I24" s="28">
        <f t="shared" ref="I24:I29" si="5">ROUND(G14,0)</f>
        <v>324000</v>
      </c>
    </row>
    <row r="25" spans="2:11" x14ac:dyDescent="0.3">
      <c r="B25" s="12" t="str">
        <f t="shared" si="0"/>
        <v>84733020</v>
      </c>
      <c r="C25" s="12" t="str">
        <f t="shared" si="1"/>
        <v>DE</v>
      </c>
      <c r="D25" s="12" t="str">
        <f t="shared" si="1"/>
        <v>SE</v>
      </c>
      <c r="E25" s="12" t="str">
        <f t="shared" si="2"/>
        <v>11</v>
      </c>
      <c r="F25" s="12" t="str">
        <f t="shared" si="2"/>
        <v>DE-DEMO-C008</v>
      </c>
      <c r="G25" s="29">
        <f t="shared" si="3"/>
        <v>795</v>
      </c>
      <c r="H25" s="29" t="str">
        <f t="shared" si="4"/>
        <v/>
      </c>
      <c r="I25" s="29">
        <f t="shared" si="5"/>
        <v>306000</v>
      </c>
    </row>
    <row r="26" spans="2:11" x14ac:dyDescent="0.3">
      <c r="B26" s="8" t="str">
        <f t="shared" si="0"/>
        <v>84716070</v>
      </c>
      <c r="C26" s="8" t="str">
        <f t="shared" si="1"/>
        <v>DK</v>
      </c>
      <c r="D26" s="8" t="str">
        <f t="shared" si="1"/>
        <v>SE</v>
      </c>
      <c r="E26" s="8" t="str">
        <f t="shared" si="2"/>
        <v>11</v>
      </c>
      <c r="F26" s="8" t="str">
        <f t="shared" si="2"/>
        <v>DK-DEMO-C010</v>
      </c>
      <c r="G26" s="28">
        <f t="shared" si="3"/>
        <v>630</v>
      </c>
      <c r="H26" s="28">
        <f t="shared" si="4"/>
        <v>750</v>
      </c>
      <c r="I26" s="28">
        <f t="shared" si="5"/>
        <v>216000</v>
      </c>
    </row>
    <row r="27" spans="2:11" x14ac:dyDescent="0.3">
      <c r="B27" s="12" t="str">
        <f t="shared" si="0"/>
        <v>84733020</v>
      </c>
      <c r="C27" s="12" t="str">
        <f t="shared" si="1"/>
        <v>DK</v>
      </c>
      <c r="D27" s="12" t="str">
        <f t="shared" si="1"/>
        <v>SE</v>
      </c>
      <c r="E27" s="12" t="str">
        <f t="shared" si="2"/>
        <v>11</v>
      </c>
      <c r="F27" s="12" t="str">
        <f t="shared" si="2"/>
        <v>DK-DEMO-C011</v>
      </c>
      <c r="G27" s="29">
        <f t="shared" si="3"/>
        <v>222</v>
      </c>
      <c r="H27" s="29" t="str">
        <f t="shared" si="4"/>
        <v/>
      </c>
      <c r="I27" s="29">
        <f t="shared" si="5"/>
        <v>69000</v>
      </c>
    </row>
    <row r="28" spans="2:11" x14ac:dyDescent="0.3">
      <c r="B28" s="8" t="str">
        <f t="shared" si="0"/>
        <v>84716070</v>
      </c>
      <c r="C28" s="8" t="str">
        <f t="shared" si="1"/>
        <v>FI</v>
      </c>
      <c r="D28" s="8" t="str">
        <f t="shared" si="1"/>
        <v>SE</v>
      </c>
      <c r="E28" s="8" t="str">
        <f t="shared" si="2"/>
        <v>11</v>
      </c>
      <c r="F28" s="8" t="str">
        <f t="shared" si="2"/>
        <v>FI-DEMO-C013</v>
      </c>
      <c r="G28" s="28">
        <f t="shared" si="3"/>
        <v>423</v>
      </c>
      <c r="H28" s="28">
        <f t="shared" si="4"/>
        <v>480</v>
      </c>
      <c r="I28" s="28">
        <f t="shared" si="5"/>
        <v>162000</v>
      </c>
    </row>
    <row r="29" spans="2:11" x14ac:dyDescent="0.3">
      <c r="B29" s="12" t="str">
        <f t="shared" si="0"/>
        <v>84733020</v>
      </c>
      <c r="C29" s="12" t="str">
        <f t="shared" si="1"/>
        <v>FI</v>
      </c>
      <c r="D29" s="12" t="str">
        <f t="shared" si="1"/>
        <v>SE</v>
      </c>
      <c r="E29" s="12" t="str">
        <f t="shared" si="2"/>
        <v>11</v>
      </c>
      <c r="F29" s="12" t="str">
        <f t="shared" si="2"/>
        <v>FI-DEMO-C014</v>
      </c>
      <c r="G29" s="29">
        <f t="shared" si="3"/>
        <v>84</v>
      </c>
      <c r="H29" s="29" t="str">
        <f t="shared" si="4"/>
        <v/>
      </c>
      <c r="I29" s="29">
        <f t="shared" si="5"/>
        <v>18000</v>
      </c>
    </row>
    <row r="30" spans="2:11" x14ac:dyDescent="0.3">
      <c r="B30" s="32" t="s">
        <v>307</v>
      </c>
      <c r="C30" s="32"/>
      <c r="D30" s="32"/>
      <c r="E30" s="32"/>
      <c r="F30" s="32"/>
      <c r="G30" s="32"/>
      <c r="H30" s="32"/>
      <c r="I30" s="39">
        <f>SUM(I24:I29)</f>
        <v>1095000</v>
      </c>
    </row>
    <row r="32" spans="2:11" ht="28.05" customHeight="1" x14ac:dyDescent="0.3">
      <c r="B32" s="40" t="s">
        <v>648</v>
      </c>
      <c r="C32" s="41"/>
      <c r="D32" s="41"/>
      <c r="E32" s="41"/>
      <c r="F32" s="41"/>
      <c r="G32" s="41"/>
      <c r="H32" s="41"/>
      <c r="I32" s="41"/>
      <c r="J32" s="41"/>
      <c r="K32" s="41"/>
    </row>
  </sheetData>
  <mergeCells count="2">
    <mergeCell ref="B10:K10"/>
    <mergeCell ref="B32:K32"/>
  </mergeCells>
  <hyperlinks>
    <hyperlink ref="L1" location="'00 Summary'!B2" display="← Summary" xr:uid="{00000000-0004-0000-0700-000000000000}"/>
  </hyperlinks>
  <pageMargins left="0.75" right="0.75" top="1" bottom="1" header="0.5" footer="0.5"/>
  <pageSetup fitToHeight="0" orientation="landscape"/>
  <headerFooter>
    <oddFooter>&amp;LVatli sample · v5 · built 2026-09-24&amp;R&amp;A · page &amp;P of &amp;N</oddFooter>
  </headerFooter>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L26"/>
  <sheetViews>
    <sheetView showGridLines="0" workbookViewId="0">
      <pane xSplit="1" ySplit="4" topLeftCell="B5" activePane="bottomRight" state="frozen"/>
      <selection pane="topRight"/>
      <selection pane="bottomLeft"/>
      <selection pane="bottomRight"/>
    </sheetView>
  </sheetViews>
  <sheetFormatPr defaultRowHeight="14.4" x14ac:dyDescent="0.3"/>
  <cols>
    <col min="1" max="1" width="2" customWidth="1"/>
    <col min="2" max="2" width="11" customWidth="1"/>
    <col min="3" max="3" width="20" customWidth="1"/>
    <col min="4" max="4" width="17" customWidth="1"/>
    <col min="5" max="5" width="20" customWidth="1"/>
    <col min="6" max="6" width="48" customWidth="1"/>
    <col min="7" max="7" width="16" customWidth="1"/>
    <col min="8" max="8" width="22" customWidth="1"/>
    <col min="9" max="9" width="14" customWidth="1"/>
    <col min="10" max="10" width="16" customWidth="1"/>
    <col min="11" max="11" width="12" customWidth="1"/>
  </cols>
  <sheetData>
    <row r="1" spans="2:12" x14ac:dyDescent="0.3">
      <c r="B1" s="1" t="s">
        <v>0</v>
      </c>
      <c r="L1" s="21" t="s">
        <v>97</v>
      </c>
    </row>
    <row r="2" spans="2:12" ht="21" x14ac:dyDescent="0.4">
      <c r="B2" s="2" t="s">
        <v>649</v>
      </c>
    </row>
    <row r="3" spans="2:12" x14ac:dyDescent="0.3">
      <c r="B3" s="3" t="s">
        <v>650</v>
      </c>
    </row>
    <row r="5" spans="2:12" x14ac:dyDescent="0.3">
      <c r="B5" s="7" t="s">
        <v>651</v>
      </c>
      <c r="C5" s="7" t="s">
        <v>652</v>
      </c>
      <c r="D5" s="7" t="s">
        <v>653</v>
      </c>
      <c r="E5" s="7" t="s">
        <v>654</v>
      </c>
      <c r="F5" s="7" t="s">
        <v>23</v>
      </c>
      <c r="G5" s="7" t="s">
        <v>655</v>
      </c>
      <c r="H5" s="7" t="s">
        <v>626</v>
      </c>
    </row>
    <row r="6" spans="2:12" x14ac:dyDescent="0.3">
      <c r="B6" s="8" t="s">
        <v>656</v>
      </c>
      <c r="C6" s="8" t="s">
        <v>657</v>
      </c>
      <c r="D6" s="8" t="s">
        <v>658</v>
      </c>
      <c r="E6" s="8" t="s">
        <v>659</v>
      </c>
      <c r="F6" s="8" t="s">
        <v>660</v>
      </c>
      <c r="G6" s="8" t="s">
        <v>623</v>
      </c>
      <c r="H6" s="8" t="s">
        <v>661</v>
      </c>
    </row>
    <row r="7" spans="2:12" x14ac:dyDescent="0.3">
      <c r="B7" s="12" t="s">
        <v>662</v>
      </c>
      <c r="C7" s="12" t="s">
        <v>663</v>
      </c>
      <c r="D7" s="12" t="s">
        <v>658</v>
      </c>
      <c r="E7" s="12" t="s">
        <v>664</v>
      </c>
      <c r="F7" s="12" t="s">
        <v>665</v>
      </c>
      <c r="G7" s="12" t="s">
        <v>666</v>
      </c>
      <c r="H7" s="12" t="s">
        <v>667</v>
      </c>
    </row>
    <row r="8" spans="2:12" x14ac:dyDescent="0.3">
      <c r="B8" s="8" t="s">
        <v>668</v>
      </c>
      <c r="C8" s="8" t="s">
        <v>669</v>
      </c>
      <c r="D8" s="8" t="s">
        <v>658</v>
      </c>
      <c r="E8" s="8" t="s">
        <v>670</v>
      </c>
      <c r="F8" s="8" t="s">
        <v>671</v>
      </c>
      <c r="G8" s="8" t="s">
        <v>205</v>
      </c>
      <c r="H8" s="9">
        <f>'03 VAT return'!$D$18</f>
        <v>264800</v>
      </c>
    </row>
    <row r="9" spans="2:12" x14ac:dyDescent="0.3">
      <c r="B9" s="12" t="s">
        <v>672</v>
      </c>
      <c r="C9" s="12" t="s">
        <v>673</v>
      </c>
      <c r="D9" s="12" t="s">
        <v>79</v>
      </c>
      <c r="E9" s="12" t="s">
        <v>674</v>
      </c>
      <c r="F9" s="12" t="s">
        <v>675</v>
      </c>
      <c r="G9" s="12" t="s">
        <v>623</v>
      </c>
      <c r="H9" s="12" t="s">
        <v>676</v>
      </c>
    </row>
    <row r="10" spans="2:12" x14ac:dyDescent="0.3">
      <c r="B10" s="8" t="s">
        <v>677</v>
      </c>
      <c r="C10" s="8" t="s">
        <v>678</v>
      </c>
      <c r="D10" s="8" t="s">
        <v>658</v>
      </c>
      <c r="E10" s="8" t="s">
        <v>679</v>
      </c>
      <c r="F10" s="8" t="s">
        <v>680</v>
      </c>
      <c r="G10" s="8" t="s">
        <v>681</v>
      </c>
      <c r="H10" s="8" t="s">
        <v>60</v>
      </c>
    </row>
    <row r="11" spans="2:12" x14ac:dyDescent="0.3">
      <c r="B11" s="12" t="s">
        <v>682</v>
      </c>
      <c r="C11" s="12" t="s">
        <v>683</v>
      </c>
      <c r="D11" s="12" t="s">
        <v>658</v>
      </c>
      <c r="E11" s="12" t="s">
        <v>684</v>
      </c>
      <c r="F11" s="12" t="s">
        <v>685</v>
      </c>
      <c r="G11" s="12" t="s">
        <v>62</v>
      </c>
      <c r="H11" s="12" t="s">
        <v>686</v>
      </c>
    </row>
    <row r="12" spans="2:12" x14ac:dyDescent="0.3">
      <c r="B12" s="8" t="s">
        <v>687</v>
      </c>
      <c r="C12" s="8" t="s">
        <v>688</v>
      </c>
      <c r="D12" s="8" t="s">
        <v>79</v>
      </c>
      <c r="E12" s="8" t="s">
        <v>689</v>
      </c>
      <c r="F12" s="8" t="s">
        <v>690</v>
      </c>
      <c r="G12" s="8" t="s">
        <v>62</v>
      </c>
      <c r="H12" s="8" t="s">
        <v>691</v>
      </c>
    </row>
    <row r="13" spans="2:12" x14ac:dyDescent="0.3">
      <c r="B13" s="12" t="s">
        <v>692</v>
      </c>
      <c r="C13" s="12" t="s">
        <v>693</v>
      </c>
      <c r="D13" s="12" t="s">
        <v>79</v>
      </c>
      <c r="E13" s="12" t="s">
        <v>694</v>
      </c>
      <c r="F13" s="12" t="s">
        <v>695</v>
      </c>
      <c r="G13" s="12" t="s">
        <v>62</v>
      </c>
      <c r="H13" s="12" t="s">
        <v>696</v>
      </c>
    </row>
    <row r="14" spans="2:12" x14ac:dyDescent="0.3">
      <c r="B14" s="8" t="s">
        <v>697</v>
      </c>
      <c r="C14" s="8" t="s">
        <v>698</v>
      </c>
      <c r="D14" s="8" t="s">
        <v>658</v>
      </c>
      <c r="E14" s="8" t="s">
        <v>699</v>
      </c>
      <c r="F14" s="8" t="s">
        <v>700</v>
      </c>
      <c r="G14" s="8" t="s">
        <v>623</v>
      </c>
      <c r="H14" s="8" t="s">
        <v>701</v>
      </c>
    </row>
    <row r="15" spans="2:12" x14ac:dyDescent="0.3">
      <c r="B15" s="12" t="s">
        <v>702</v>
      </c>
      <c r="C15" s="12" t="s">
        <v>703</v>
      </c>
      <c r="D15" s="12" t="s">
        <v>658</v>
      </c>
      <c r="E15" s="12" t="s">
        <v>704</v>
      </c>
      <c r="F15" s="12" t="s">
        <v>705</v>
      </c>
      <c r="G15" s="12" t="s">
        <v>706</v>
      </c>
      <c r="H15" s="12" t="s">
        <v>707</v>
      </c>
    </row>
    <row r="16" spans="2:12" x14ac:dyDescent="0.3">
      <c r="B16" s="8" t="s">
        <v>708</v>
      </c>
      <c r="C16" s="8" t="s">
        <v>709</v>
      </c>
      <c r="D16" s="8" t="s">
        <v>658</v>
      </c>
      <c r="E16" s="8" t="s">
        <v>710</v>
      </c>
      <c r="F16" s="8" t="s">
        <v>711</v>
      </c>
      <c r="G16" s="8" t="s">
        <v>68</v>
      </c>
      <c r="H16" s="8" t="s">
        <v>66</v>
      </c>
    </row>
    <row r="17" spans="2:11" x14ac:dyDescent="0.3">
      <c r="B17" s="12" t="s">
        <v>712</v>
      </c>
      <c r="C17" s="12" t="s">
        <v>713</v>
      </c>
      <c r="D17" s="12" t="s">
        <v>658</v>
      </c>
      <c r="E17" s="12" t="s">
        <v>714</v>
      </c>
      <c r="F17" s="12" t="s">
        <v>715</v>
      </c>
      <c r="G17" s="12" t="s">
        <v>716</v>
      </c>
      <c r="H17" s="12" t="s">
        <v>63</v>
      </c>
    </row>
    <row r="18" spans="2:11" ht="27.6" x14ac:dyDescent="0.3">
      <c r="B18" s="8" t="s">
        <v>717</v>
      </c>
      <c r="C18" s="8" t="s">
        <v>718</v>
      </c>
      <c r="D18" s="8" t="s">
        <v>79</v>
      </c>
      <c r="E18" s="8" t="s">
        <v>719</v>
      </c>
      <c r="F18" s="22" t="s">
        <v>720</v>
      </c>
      <c r="G18" s="8" t="s">
        <v>721</v>
      </c>
      <c r="H18" s="8" t="s">
        <v>722</v>
      </c>
    </row>
    <row r="19" spans="2:11" x14ac:dyDescent="0.3">
      <c r="B19" s="12" t="s">
        <v>723</v>
      </c>
      <c r="C19" s="12" t="s">
        <v>724</v>
      </c>
      <c r="D19" s="12" t="s">
        <v>79</v>
      </c>
      <c r="E19" s="12" t="s">
        <v>725</v>
      </c>
      <c r="F19" s="12" t="s">
        <v>726</v>
      </c>
      <c r="G19" s="12" t="s">
        <v>623</v>
      </c>
      <c r="H19" s="12" t="s">
        <v>727</v>
      </c>
    </row>
    <row r="21" spans="2:11" x14ac:dyDescent="0.3">
      <c r="B21" s="6" t="s">
        <v>728</v>
      </c>
    </row>
    <row r="22" spans="2:11" x14ac:dyDescent="0.3">
      <c r="B22" s="7" t="s">
        <v>57</v>
      </c>
      <c r="C22" s="7" t="s">
        <v>729</v>
      </c>
      <c r="D22" s="7" t="s">
        <v>730</v>
      </c>
      <c r="E22" s="7" t="s">
        <v>264</v>
      </c>
      <c r="F22" s="7" t="s">
        <v>266</v>
      </c>
      <c r="G22" s="7" t="s">
        <v>394</v>
      </c>
      <c r="H22" s="7" t="s">
        <v>395</v>
      </c>
      <c r="I22" s="7" t="s">
        <v>22</v>
      </c>
      <c r="J22" s="7" t="s">
        <v>731</v>
      </c>
      <c r="K22" s="7" t="s">
        <v>17</v>
      </c>
    </row>
    <row r="23" spans="2:11" x14ac:dyDescent="0.3">
      <c r="B23" s="8" t="s">
        <v>695</v>
      </c>
      <c r="C23" s="8" t="s">
        <v>543</v>
      </c>
      <c r="D23" s="8" t="s">
        <v>732</v>
      </c>
      <c r="E23" s="8" t="s">
        <v>270</v>
      </c>
      <c r="F23" s="30">
        <f>INDEX('03 VAT return'!$E$56:$E$63,MATCH(E23,'03 VAT return'!$B$56:$B$63,0))</f>
        <v>0.25</v>
      </c>
      <c r="G23" s="9">
        <v>55000</v>
      </c>
      <c r="H23" s="9">
        <v>13750</v>
      </c>
      <c r="I23" s="8" t="s">
        <v>33</v>
      </c>
      <c r="J23" s="8" t="s">
        <v>79</v>
      </c>
      <c r="K23" s="8" t="s">
        <v>696</v>
      </c>
    </row>
    <row r="24" spans="2:11" x14ac:dyDescent="0.3">
      <c r="B24" s="12" t="s">
        <v>695</v>
      </c>
      <c r="C24" s="12" t="s">
        <v>543</v>
      </c>
      <c r="D24" s="12" t="s">
        <v>733</v>
      </c>
      <c r="E24" s="12" t="s">
        <v>276</v>
      </c>
      <c r="F24" s="31">
        <f>INDEX('03 VAT return'!$E$56:$E$63,MATCH(E24,'03 VAT return'!$B$56:$B$63,0))</f>
        <v>0.06</v>
      </c>
      <c r="G24" s="13">
        <v>40000</v>
      </c>
      <c r="H24" s="13">
        <v>2400</v>
      </c>
      <c r="I24" s="12" t="s">
        <v>37</v>
      </c>
      <c r="J24" s="12" t="s">
        <v>79</v>
      </c>
      <c r="K24" s="12" t="s">
        <v>696</v>
      </c>
    </row>
    <row r="26" spans="2:11" ht="28.05" customHeight="1" x14ac:dyDescent="0.3">
      <c r="B26" s="40" t="s">
        <v>734</v>
      </c>
      <c r="C26" s="41"/>
      <c r="D26" s="41"/>
      <c r="E26" s="41"/>
      <c r="F26" s="41"/>
      <c r="G26" s="41"/>
      <c r="H26" s="41"/>
      <c r="I26" s="41"/>
      <c r="J26" s="41"/>
    </row>
  </sheetData>
  <mergeCells count="1">
    <mergeCell ref="B26:J26"/>
  </mergeCells>
  <conditionalFormatting sqref="K23:K24">
    <cfRule type="cellIs" dxfId="5" priority="1" operator="equal">
      <formula>"Present"</formula>
    </cfRule>
    <cfRule type="cellIs" dxfId="4" priority="2" operator="equal">
      <formula>"Resolved"</formula>
    </cfRule>
    <cfRule type="cellIs" dxfId="3" priority="3" operator="equal">
      <formula>"Approved"</formula>
    </cfRule>
    <cfRule type="cellIs" dxfId="2" priority="4" operator="equal">
      <formula>"Paid"</formula>
    </cfRule>
    <cfRule type="cellIs" dxfId="1" priority="5" operator="equal">
      <formula>"Missing"</formula>
    </cfRule>
    <cfRule type="cellIs" dxfId="0" priority="6" operator="equal">
      <formula>"Open"</formula>
    </cfRule>
  </conditionalFormatting>
  <hyperlinks>
    <hyperlink ref="L1" location="'00 Summary'!B2" display="← Summary" xr:uid="{00000000-0004-0000-0800-000000000000}"/>
  </hyperlinks>
  <pageMargins left="0.75" right="0.75" top="1" bottom="1" header="0.5" footer="0.5"/>
  <pageSetup fitToHeight="0" orientation="landscape"/>
  <headerFooter>
    <oddFooter>&amp;LVatli sample · v5 · built 2026-09-24&amp;R&amp;A · page &amp;P of &amp;N</oddFooter>
  </headerFooter>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00 Summary</vt:lpstr>
      <vt:lpstr>01 Findings</vt:lpstr>
      <vt:lpstr>02 Checks</vt:lpstr>
      <vt:lpstr>03 VAT return</vt:lpstr>
      <vt:lpstr>04 GL reconciliation</vt:lpstr>
      <vt:lpstr>05 Invoices &amp; lines</vt:lpstr>
      <vt:lpstr>06 EU sales list</vt:lpstr>
      <vt:lpstr>07 Intrastat</vt:lpstr>
      <vt:lpstr>08 Trail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Vatli sample VAT reconciliation · March 2026</dc:title>
  <dc:creator>Vatli</dc:creator>
  <cp:lastModifiedBy>Vatli</cp:lastModifiedBy>
  <dcterms:created xsi:type="dcterms:W3CDTF">2026-09-24T04:45:04Z</dcterms:created>
  <dcterms:modified xsi:type="dcterms:W3CDTF">2026-09-24T04:45:07Z</dcterms:modified>
</cp:coreProperties>
</file>